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Cause-Levono\Documents\TELETRABALHO MAC-20220408T123749Z-001\TELETRABALHO MAC\Relatorio de Gestão\2022\Relatório de Gestão de 2022 e Prestações de Contas de 2021 e 2022 - Orientações e cronograma\"/>
    </mc:Choice>
  </mc:AlternateContent>
  <xr:revisionPtr revIDLastSave="0" documentId="13_ncr:1_{73B4999B-CF61-42E4-8E53-E886DD6B1055}" xr6:coauthVersionLast="47" xr6:coauthVersionMax="47" xr10:uidLastSave="{00000000-0000-0000-0000-000000000000}"/>
  <bookViews>
    <workbookView xWindow="-108" yWindow="-108" windowWidth="23256" windowHeight="12576" tabRatio="884" activeTab="4" xr2:uid="{00000000-000D-0000-FFFF-FFFF00000000}"/>
  </bookViews>
  <sheets>
    <sheet name="Orientações Iniciais" sheetId="42" r:id="rId1"/>
    <sheet name="Indicadores e Metas" sheetId="39" state="hidden" r:id="rId2"/>
    <sheet name="Quadro Geral" sheetId="15" r:id="rId3"/>
    <sheet name="Fontes " sheetId="8" r:id="rId4"/>
    <sheet name="Limites Estratégicos" sheetId="23" r:id="rId5"/>
    <sheet name="Validação de dados" sheetId="31" state="hidden" r:id="rId6"/>
    <sheet name="Diretrizes - Resumo" sheetId="40" state="hidden" r:id="rId7"/>
    <sheet name="Matriz de Obj. Estrat." sheetId="41" r:id="rId8"/>
    <sheet name="BALANÇO" sheetId="48" r:id="rId9"/>
    <sheet name="FONTES REPROG" sheetId="43" state="hidden" r:id="rId10"/>
    <sheet name="RECEITAS" sheetId="45" r:id="rId11"/>
    <sheet name="EXEC CC" sheetId="47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_xlfn_IFERROR">#N/A</definedName>
    <definedName name="_xlnm._FilterDatabase" localSheetId="6" hidden="1">'Diretrizes - Resumo'!$A$3:$V$30</definedName>
    <definedName name="_xlnm._FilterDatabase" localSheetId="1" hidden="1">'Indicadores e Metas'!$A$28:$S$104</definedName>
    <definedName name="A" localSheetId="6">#REF!</definedName>
    <definedName name="A" localSheetId="9">#REF!</definedName>
    <definedName name="A" localSheetId="1">#REF!</definedName>
    <definedName name="A" localSheetId="7">#REF!</definedName>
    <definedName name="A" localSheetId="0">#REF!</definedName>
    <definedName name="A" localSheetId="2">#REF!</definedName>
    <definedName name="A">#REF!</definedName>
    <definedName name="Anexo" localSheetId="9">#REF!</definedName>
    <definedName name="Anexo" localSheetId="1">#REF!</definedName>
    <definedName name="Anexo" localSheetId="7">#REF!</definedName>
    <definedName name="Anexo">#REF!</definedName>
    <definedName name="Anexo_1.4.4" localSheetId="9">#REF!</definedName>
    <definedName name="Anexo_1.4.4" localSheetId="1">#REF!</definedName>
    <definedName name="Anexo_1.4.4" localSheetId="7">#REF!</definedName>
    <definedName name="Anexo_1.4.4">#REF!</definedName>
    <definedName name="ar">#N/A</definedName>
    <definedName name="_xlnm.Print_Area" localSheetId="3">'Fontes '!$A$1:$E$24</definedName>
    <definedName name="_xlnm.Print_Area" localSheetId="9">'FONTES REPROG'!$A$1:$H$35</definedName>
    <definedName name="_xlnm.Print_Area" localSheetId="1">'Indicadores e Metas'!$A$1:$G$109</definedName>
    <definedName name="_xlnm.Print_Area" localSheetId="7">'Matriz de Obj. Estrat.'!$A$1:$K$19</definedName>
    <definedName name="_xlnm.Print_Area" localSheetId="2">'Quadro Geral'!$A$1:$H$85</definedName>
    <definedName name="asas" localSheetId="9">#REF!</definedName>
    <definedName name="asas" localSheetId="1">#REF!</definedName>
    <definedName name="asas" localSheetId="7">#REF!</definedName>
    <definedName name="asas">#REF!</definedName>
    <definedName name="ass" localSheetId="9">#REF!</definedName>
    <definedName name="ass" localSheetId="1">#REF!</definedName>
    <definedName name="ass" localSheetId="7">#REF!</definedName>
    <definedName name="ass">#REF!</definedName>
    <definedName name="_xlnm.Database" localSheetId="6">#REF!</definedName>
    <definedName name="_xlnm.Database" localSheetId="9">#REF!</definedName>
    <definedName name="_xlnm.Database" localSheetId="1">#REF!</definedName>
    <definedName name="_xlnm.Database" localSheetId="7">#REF!</definedName>
    <definedName name="_xlnm.Database" localSheetId="0">#REF!</definedName>
    <definedName name="_xlnm.Database" localSheetId="2">#REF!</definedName>
    <definedName name="_xlnm.Database">#REF!</definedName>
    <definedName name="banco_de_dados_sym" localSheetId="6">#REF!</definedName>
    <definedName name="banco_de_dados_sym" localSheetId="9">#REF!</definedName>
    <definedName name="banco_de_dados_sym" localSheetId="1">#REF!</definedName>
    <definedName name="banco_de_dados_sym" localSheetId="7">#REF!</definedName>
    <definedName name="banco_de_dados_sym">#REF!</definedName>
    <definedName name="Copia" localSheetId="9">#REF!</definedName>
    <definedName name="Copia" localSheetId="1">#REF!</definedName>
    <definedName name="Copia" localSheetId="7">#REF!</definedName>
    <definedName name="Copia">#REF!</definedName>
    <definedName name="copia2" localSheetId="9">#REF!</definedName>
    <definedName name="copia2" localSheetId="1">#REF!</definedName>
    <definedName name="copia2" localSheetId="7">#REF!</definedName>
    <definedName name="copia2">#REF!</definedName>
    <definedName name="_xlnm.Criteria" localSheetId="9">#REF!</definedName>
    <definedName name="_xlnm.Criteria" localSheetId="1">#REF!</definedName>
    <definedName name="_xlnm.Criteria" localSheetId="7">#REF!</definedName>
    <definedName name="_xlnm.Criteria">#REF!</definedName>
    <definedName name="dados" localSheetId="9">#REF!</definedName>
    <definedName name="dados" localSheetId="1">#REF!</definedName>
    <definedName name="dados" localSheetId="7">#REF!</definedName>
    <definedName name="dados">#REF!</definedName>
    <definedName name="Database" localSheetId="9">#REF!</definedName>
    <definedName name="Database" localSheetId="7">#REF!</definedName>
    <definedName name="Database">#REF!</definedName>
    <definedName name="DEZEMBRO" localSheetId="9">#REF!</definedName>
    <definedName name="DEZEMBRO" localSheetId="7">#REF!</definedName>
    <definedName name="DEZEMBRO">#REF!</definedName>
    <definedName name="huala" localSheetId="9">#REF!</definedName>
    <definedName name="huala" localSheetId="1">#REF!</definedName>
    <definedName name="huala" localSheetId="7">#REF!</definedName>
    <definedName name="huala">#REF!</definedName>
    <definedName name="kk" localSheetId="9">#REF!</definedName>
    <definedName name="kk" localSheetId="1">#REF!</definedName>
    <definedName name="kk" localSheetId="7">#REF!</definedName>
    <definedName name="kk">#REF!</definedName>
    <definedName name="Percentual5" localSheetId="6">'[1]Estudos - Receita'!$XFB$1:$XFB$20</definedName>
    <definedName name="Percentual5">'[2]Estudos - Receita'!$XFB$1:$XFB$20</definedName>
    <definedName name="PJ2anos" localSheetId="6">'[1]Estudos - Quant. PJ'!$K:$O,'[1]Estudos - Quant. PJ'!$J$2</definedName>
    <definedName name="PJ2anos">'[2]Estudos - Quant. PJ'!$K:$O,'[2]Estudos - Quant. PJ'!$J$2</definedName>
    <definedName name="PREs">#N/A</definedName>
    <definedName name="Presid">#N/A</definedName>
    <definedName name="X" localSheetId="9">#REF!</definedName>
    <definedName name="X" localSheetId="7">#REF!</definedName>
    <definedName name="X">#REF!</definedName>
    <definedName name="XFE1048575" localSheetId="6">#REF!</definedName>
    <definedName name="XFE1048575" localSheetId="9">#REF!</definedName>
    <definedName name="XFE1048575" localSheetId="1">#REF!</definedName>
    <definedName name="XFE1048575" localSheetId="7">#REF!</definedName>
    <definedName name="XFE1048575">#REF!</definedName>
    <definedName name="XFe1048576" localSheetId="6">#REF!</definedName>
    <definedName name="XFe1048576" localSheetId="9">#REF!</definedName>
    <definedName name="XFe1048576" localSheetId="1">#REF!</definedName>
    <definedName name="XFe1048576" localSheetId="7">#REF!</definedName>
    <definedName name="XFe1048576">#REF!</definedName>
  </definedNames>
  <calcPr calcId="181029"/>
</workbook>
</file>

<file path=xl/calcChain.xml><?xml version="1.0" encoding="utf-8"?>
<calcChain xmlns="http://schemas.openxmlformats.org/spreadsheetml/2006/main">
  <c r="O4" i="23" l="1"/>
  <c r="G8" i="15"/>
  <c r="G9" i="15"/>
  <c r="G10" i="15"/>
  <c r="G11" i="15"/>
  <c r="G12" i="15"/>
  <c r="G13" i="15"/>
  <c r="G14" i="15"/>
  <c r="G15" i="15"/>
  <c r="E7" i="23" s="1"/>
  <c r="G16" i="15"/>
  <c r="G17" i="15"/>
  <c r="G18" i="15"/>
  <c r="G19" i="15"/>
  <c r="G20" i="15"/>
  <c r="G21" i="15"/>
  <c r="G22" i="15"/>
  <c r="G23" i="15"/>
  <c r="G24" i="15"/>
  <c r="G7" i="15"/>
  <c r="F24" i="15"/>
  <c r="E24" i="15" s="1"/>
  <c r="F23" i="15"/>
  <c r="E23" i="15" s="1"/>
  <c r="F22" i="15"/>
  <c r="F21" i="15"/>
  <c r="E21" i="15" s="1"/>
  <c r="F20" i="15"/>
  <c r="E20" i="15" s="1"/>
  <c r="F19" i="15"/>
  <c r="E19" i="15" s="1"/>
  <c r="F18" i="15"/>
  <c r="E18" i="15" s="1"/>
  <c r="F17" i="15"/>
  <c r="E17" i="15" s="1"/>
  <c r="F16" i="15"/>
  <c r="E16" i="15" s="1"/>
  <c r="F15" i="15"/>
  <c r="E15" i="15" s="1"/>
  <c r="F14" i="15"/>
  <c r="E14" i="15" s="1"/>
  <c r="F13" i="15"/>
  <c r="E13" i="15" s="1"/>
  <c r="F12" i="15"/>
  <c r="E12" i="15" s="1"/>
  <c r="F11" i="15"/>
  <c r="F10" i="15"/>
  <c r="E10" i="15" s="1"/>
  <c r="F9" i="15"/>
  <c r="E9" i="15" s="1"/>
  <c r="F8" i="15"/>
  <c r="E8" i="15" s="1"/>
  <c r="F7" i="15"/>
  <c r="E7" i="15" s="1"/>
  <c r="O13" i="23"/>
  <c r="E11" i="15"/>
  <c r="E22" i="15"/>
  <c r="E11" i="23" l="1"/>
  <c r="G7" i="8"/>
  <c r="D17" i="8"/>
  <c r="D16" i="8"/>
  <c r="D20" i="8"/>
  <c r="D19" i="8"/>
  <c r="D18" i="8"/>
  <c r="D15" i="8"/>
  <c r="D14" i="8"/>
  <c r="D12" i="8"/>
  <c r="D11" i="8"/>
  <c r="E23" i="23"/>
  <c r="E21" i="23"/>
  <c r="E19" i="23"/>
  <c r="E17" i="23"/>
  <c r="E15" i="23"/>
  <c r="E13" i="23"/>
  <c r="D23" i="23"/>
  <c r="D21" i="23"/>
  <c r="D19" i="23"/>
  <c r="D17" i="23"/>
  <c r="D15" i="23"/>
  <c r="D13" i="23"/>
  <c r="D11" i="23"/>
  <c r="C22" i="8"/>
  <c r="B52" i="43"/>
  <c r="B55" i="43" s="1"/>
  <c r="B51" i="43"/>
  <c r="C51" i="43" s="1"/>
  <c r="C50" i="43"/>
  <c r="C46" i="43"/>
  <c r="B46" i="43"/>
  <c r="E42" i="43"/>
  <c r="H41" i="43"/>
  <c r="F41" i="43"/>
  <c r="G41" i="43" s="1"/>
  <c r="H40" i="43"/>
  <c r="F40" i="43"/>
  <c r="G40" i="43" s="1"/>
  <c r="B40" i="43"/>
  <c r="N33" i="43"/>
  <c r="M33" i="43"/>
  <c r="L33" i="43"/>
  <c r="K33" i="43"/>
  <c r="J33" i="43"/>
  <c r="E33" i="43"/>
  <c r="D33" i="43"/>
  <c r="N32" i="43"/>
  <c r="O32" i="43" s="1"/>
  <c r="M32" i="43"/>
  <c r="L32" i="43"/>
  <c r="K32" i="43"/>
  <c r="J32" i="43"/>
  <c r="E32" i="43"/>
  <c r="D32" i="43"/>
  <c r="N31" i="43"/>
  <c r="O31" i="43" s="1"/>
  <c r="M31" i="43"/>
  <c r="L31" i="43"/>
  <c r="K31" i="43"/>
  <c r="J31" i="43"/>
  <c r="E31" i="43"/>
  <c r="D31" i="43"/>
  <c r="J30" i="43"/>
  <c r="N29" i="43"/>
  <c r="M29" i="43"/>
  <c r="L29" i="43"/>
  <c r="K29" i="43"/>
  <c r="J29" i="43"/>
  <c r="E29" i="43"/>
  <c r="D29" i="43"/>
  <c r="N28" i="43"/>
  <c r="M28" i="43"/>
  <c r="L28" i="43"/>
  <c r="K28" i="43"/>
  <c r="J28" i="43"/>
  <c r="E28" i="43"/>
  <c r="D28" i="43"/>
  <c r="J27" i="43"/>
  <c r="C27" i="43"/>
  <c r="C34" i="43" s="1"/>
  <c r="J26" i="43"/>
  <c r="C25" i="43"/>
  <c r="J25" i="43" s="1"/>
  <c r="J24" i="43"/>
  <c r="G24" i="43"/>
  <c r="H24" i="43" s="1"/>
  <c r="F24" i="43"/>
  <c r="J23" i="43"/>
  <c r="H23" i="43"/>
  <c r="G23" i="43"/>
  <c r="F23" i="43"/>
  <c r="E23" i="43"/>
  <c r="J22" i="43"/>
  <c r="F22" i="43"/>
  <c r="C45" i="43" s="1"/>
  <c r="E22" i="43"/>
  <c r="D22" i="43"/>
  <c r="C22" i="43"/>
  <c r="B41" i="43" s="1"/>
  <c r="J21" i="43"/>
  <c r="D21" i="43"/>
  <c r="K20" i="43"/>
  <c r="J20" i="43"/>
  <c r="D20" i="43"/>
  <c r="J19" i="43"/>
  <c r="D19" i="43"/>
  <c r="J18" i="43"/>
  <c r="D18" i="43"/>
  <c r="E18" i="43" s="1"/>
  <c r="F18" i="43" s="1"/>
  <c r="J17" i="43"/>
  <c r="D17" i="43"/>
  <c r="J16" i="43"/>
  <c r="D16" i="43"/>
  <c r="J15" i="43"/>
  <c r="D15" i="43"/>
  <c r="J14" i="43"/>
  <c r="C14" i="43"/>
  <c r="J13" i="43"/>
  <c r="D13" i="43"/>
  <c r="E13" i="43" s="1"/>
  <c r="F13" i="43" s="1"/>
  <c r="J12" i="43"/>
  <c r="D12" i="43"/>
  <c r="J11" i="43"/>
  <c r="C11" i="43"/>
  <c r="J10" i="43"/>
  <c r="C10" i="43"/>
  <c r="J9" i="43"/>
  <c r="C9" i="43"/>
  <c r="J8" i="43"/>
  <c r="C8" i="43"/>
  <c r="A2" i="43"/>
  <c r="D11" i="43" l="1"/>
  <c r="F31" i="43"/>
  <c r="L30" i="43"/>
  <c r="E30" i="43"/>
  <c r="M30" i="43"/>
  <c r="D46" i="43"/>
  <c r="E46" i="43" s="1"/>
  <c r="F33" i="43"/>
  <c r="F28" i="43"/>
  <c r="G28" i="43" s="1"/>
  <c r="H28" i="43" s="1"/>
  <c r="L34" i="43"/>
  <c r="K30" i="43"/>
  <c r="K34" i="43" s="1"/>
  <c r="K35" i="43" s="1"/>
  <c r="D14" i="43"/>
  <c r="D10" i="43" s="1"/>
  <c r="D9" i="43" s="1"/>
  <c r="D8" i="43" s="1"/>
  <c r="D25" i="43" s="1"/>
  <c r="C47" i="43"/>
  <c r="E16" i="43"/>
  <c r="F16" i="43" s="1"/>
  <c r="G16" i="43" s="1"/>
  <c r="H16" i="43" s="1"/>
  <c r="F29" i="43"/>
  <c r="M34" i="43"/>
  <c r="F32" i="43"/>
  <c r="C15" i="8"/>
  <c r="C17" i="8"/>
  <c r="G18" i="43"/>
  <c r="H18" i="43" s="1"/>
  <c r="K18" i="43"/>
  <c r="K13" i="43"/>
  <c r="C12" i="8"/>
  <c r="G13" i="43"/>
  <c r="H13" i="43" s="1"/>
  <c r="E12" i="43"/>
  <c r="E11" i="43" s="1"/>
  <c r="E27" i="43"/>
  <c r="E34" i="43" s="1"/>
  <c r="E36" i="43" s="1"/>
  <c r="O33" i="43"/>
  <c r="E15" i="43"/>
  <c r="F15" i="43" s="1"/>
  <c r="E17" i="43"/>
  <c r="F17" i="43" s="1"/>
  <c r="E19" i="43"/>
  <c r="F19" i="43" s="1"/>
  <c r="E21" i="43"/>
  <c r="F21" i="43" s="1"/>
  <c r="F42" i="43"/>
  <c r="D30" i="43"/>
  <c r="C36" i="43"/>
  <c r="J34" i="43"/>
  <c r="B42" i="43"/>
  <c r="G29" i="43"/>
  <c r="H29" i="43" s="1"/>
  <c r="E20" i="43"/>
  <c r="G22" i="43"/>
  <c r="H22" i="43" s="1"/>
  <c r="N30" i="43"/>
  <c r="N34" i="43" s="1"/>
  <c r="G31" i="43"/>
  <c r="H31" i="43" s="1"/>
  <c r="G32" i="43"/>
  <c r="H32" i="43" s="1"/>
  <c r="G33" i="43"/>
  <c r="H33" i="43" s="1"/>
  <c r="G42" i="43"/>
  <c r="B53" i="43"/>
  <c r="C35" i="43"/>
  <c r="B54" i="43"/>
  <c r="C41" i="43"/>
  <c r="D41" i="43" s="1"/>
  <c r="F30" i="43" l="1"/>
  <c r="G30" i="43" s="1"/>
  <c r="H30" i="43" s="1"/>
  <c r="F27" i="43"/>
  <c r="G27" i="43" s="1"/>
  <c r="H27" i="43" s="1"/>
  <c r="F12" i="43"/>
  <c r="C11" i="8" s="1"/>
  <c r="D27" i="43"/>
  <c r="D34" i="43" s="1"/>
  <c r="D36" i="43" s="1"/>
  <c r="E14" i="43"/>
  <c r="E10" i="43" s="1"/>
  <c r="E9" i="43" s="1"/>
  <c r="E8" i="43" s="1"/>
  <c r="E25" i="43" s="1"/>
  <c r="E35" i="43" s="1"/>
  <c r="K16" i="43"/>
  <c r="C16" i="8"/>
  <c r="K17" i="43"/>
  <c r="G17" i="43"/>
  <c r="H17" i="43" s="1"/>
  <c r="C20" i="8"/>
  <c r="K21" i="43"/>
  <c r="G21" i="43"/>
  <c r="H21" i="43" s="1"/>
  <c r="C18" i="8"/>
  <c r="G19" i="43"/>
  <c r="H19" i="43" s="1"/>
  <c r="G12" i="43"/>
  <c r="H12" i="43" s="1"/>
  <c r="C14" i="8"/>
  <c r="F14" i="43"/>
  <c r="G14" i="43" s="1"/>
  <c r="H14" i="43" s="1"/>
  <c r="K15" i="43"/>
  <c r="G15" i="43"/>
  <c r="H15" i="43" s="1"/>
  <c r="M35" i="43"/>
  <c r="B43" i="43"/>
  <c r="E43" i="43"/>
  <c r="F34" i="43"/>
  <c r="F20" i="43"/>
  <c r="C19" i="8" s="1"/>
  <c r="F11" i="43" l="1"/>
  <c r="G11" i="43" s="1"/>
  <c r="H11" i="43" s="1"/>
  <c r="D35" i="43"/>
  <c r="L35" i="43"/>
  <c r="K12" i="43"/>
  <c r="F10" i="43"/>
  <c r="G20" i="43"/>
  <c r="H20" i="43" s="1"/>
  <c r="L20" i="43"/>
  <c r="F36" i="43"/>
  <c r="G34" i="43"/>
  <c r="N35" i="43"/>
  <c r="F9" i="43" l="1"/>
  <c r="G10" i="43"/>
  <c r="H10" i="43" s="1"/>
  <c r="G36" i="43"/>
  <c r="H34" i="43"/>
  <c r="G9" i="43" l="1"/>
  <c r="H9" i="43" s="1"/>
  <c r="F8" i="43"/>
  <c r="B45" i="43" l="1"/>
  <c r="C40" i="43"/>
  <c r="F25" i="43"/>
  <c r="G8" i="43"/>
  <c r="H8" i="43" s="1"/>
  <c r="G25" i="43" l="1"/>
  <c r="H25" i="43" s="1"/>
  <c r="I28" i="43"/>
  <c r="I13" i="43"/>
  <c r="I11" i="43"/>
  <c r="I32" i="43"/>
  <c r="I33" i="43"/>
  <c r="I27" i="43"/>
  <c r="I25" i="43"/>
  <c r="I18" i="43"/>
  <c r="I31" i="43"/>
  <c r="I23" i="43"/>
  <c r="I24" i="43"/>
  <c r="I12" i="43"/>
  <c r="I20" i="43"/>
  <c r="F35" i="43"/>
  <c r="G35" i="43" s="1"/>
  <c r="I29" i="43"/>
  <c r="I9" i="43"/>
  <c r="I14" i="43"/>
  <c r="I15" i="43"/>
  <c r="I17" i="43"/>
  <c r="I34" i="43"/>
  <c r="I10" i="43"/>
  <c r="I19" i="43"/>
  <c r="I22" i="43"/>
  <c r="I21" i="43"/>
  <c r="I16" i="43"/>
  <c r="I30" i="43"/>
  <c r="D40" i="43"/>
  <c r="C42" i="43"/>
  <c r="I8" i="43"/>
  <c r="B47" i="43"/>
  <c r="D45" i="43"/>
  <c r="F81" i="15"/>
  <c r="G81" i="15"/>
  <c r="I81" i="15" s="1"/>
  <c r="E81" i="15"/>
  <c r="F17" i="23"/>
  <c r="E12" i="8"/>
  <c r="E15" i="8"/>
  <c r="E16" i="8"/>
  <c r="E17" i="8"/>
  <c r="E18" i="8"/>
  <c r="E19" i="8"/>
  <c r="E20" i="8"/>
  <c r="E22" i="8"/>
  <c r="E23" i="8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F7" i="23"/>
  <c r="H7" i="15"/>
  <c r="P13" i="23"/>
  <c r="P5" i="23"/>
  <c r="P4" i="23"/>
  <c r="F23" i="23"/>
  <c r="F21" i="23"/>
  <c r="F19" i="23"/>
  <c r="F15" i="23"/>
  <c r="F13" i="23"/>
  <c r="F11" i="23"/>
  <c r="E45" i="43" l="1"/>
  <c r="D47" i="43"/>
  <c r="D42" i="43"/>
  <c r="F43" i="43"/>
  <c r="C43" i="43"/>
  <c r="H81" i="15"/>
  <c r="A1" i="8"/>
  <c r="D5" i="40"/>
  <c r="G5" i="40"/>
  <c r="D6" i="40"/>
  <c r="D7" i="40"/>
  <c r="G7" i="40"/>
  <c r="D8" i="40"/>
  <c r="G8" i="40"/>
  <c r="D9" i="40"/>
  <c r="G9" i="40"/>
  <c r="D10" i="40"/>
  <c r="D11" i="40"/>
  <c r="D12" i="40"/>
  <c r="G12" i="40"/>
  <c r="D13" i="40"/>
  <c r="G13" i="40"/>
  <c r="D14" i="40"/>
  <c r="D15" i="40"/>
  <c r="D16" i="40"/>
  <c r="G16" i="40"/>
  <c r="D17" i="40"/>
  <c r="G17" i="40"/>
  <c r="D18" i="40"/>
  <c r="D19" i="40"/>
  <c r="D20" i="40"/>
  <c r="G20" i="40"/>
  <c r="D21" i="40"/>
  <c r="G21" i="40"/>
  <c r="D22" i="40"/>
  <c r="D23" i="40"/>
  <c r="D24" i="40"/>
  <c r="G24" i="40"/>
  <c r="D25" i="40"/>
  <c r="G25" i="40"/>
  <c r="D26" i="40"/>
  <c r="D27" i="40"/>
  <c r="D28" i="40"/>
  <c r="G28" i="40"/>
  <c r="D29" i="40"/>
  <c r="G29" i="40"/>
  <c r="D30" i="40"/>
  <c r="AK2" i="40"/>
  <c r="AK27" i="40" s="1"/>
  <c r="C32" i="40"/>
  <c r="D32" i="40" s="1"/>
  <c r="E32" i="40" s="1"/>
  <c r="F32" i="40" s="1"/>
  <c r="G32" i="40" s="1"/>
  <c r="H32" i="40" s="1"/>
  <c r="I32" i="40" s="1"/>
  <c r="J32" i="40" s="1"/>
  <c r="K32" i="40" s="1"/>
  <c r="L32" i="40" s="1"/>
  <c r="M32" i="40" s="1"/>
  <c r="N32" i="40" s="1"/>
  <c r="O32" i="40" s="1"/>
  <c r="P32" i="40" s="1"/>
  <c r="Q32" i="40" s="1"/>
  <c r="R32" i="40" s="1"/>
  <c r="S32" i="40" s="1"/>
  <c r="T32" i="40" s="1"/>
  <c r="U32" i="40" s="1"/>
  <c r="V32" i="40" s="1"/>
  <c r="W32" i="40" s="1"/>
  <c r="X32" i="40" s="1"/>
  <c r="Y32" i="40" s="1"/>
  <c r="Z32" i="40" s="1"/>
  <c r="AA32" i="40" s="1"/>
  <c r="AB32" i="40" s="1"/>
  <c r="AC32" i="40" s="1"/>
  <c r="AD32" i="40" s="1"/>
  <c r="AE32" i="40" s="1"/>
  <c r="AF32" i="40" s="1"/>
  <c r="AG32" i="40" s="1"/>
  <c r="AH32" i="40" s="1"/>
  <c r="C4" i="41"/>
  <c r="D4" i="41"/>
  <c r="E4" i="41"/>
  <c r="F4" i="41"/>
  <c r="G4" i="41"/>
  <c r="H4" i="41"/>
  <c r="C5" i="41"/>
  <c r="D5" i="41"/>
  <c r="E5" i="41"/>
  <c r="F5" i="41"/>
  <c r="G5" i="41"/>
  <c r="H5" i="41"/>
  <c r="C6" i="41"/>
  <c r="D6" i="41"/>
  <c r="E6" i="41"/>
  <c r="F6" i="41"/>
  <c r="G6" i="41"/>
  <c r="H6" i="41"/>
  <c r="C7" i="41"/>
  <c r="D7" i="41"/>
  <c r="E7" i="41"/>
  <c r="F7" i="41"/>
  <c r="G7" i="41"/>
  <c r="H7" i="41"/>
  <c r="C8" i="41"/>
  <c r="D8" i="41"/>
  <c r="E8" i="41"/>
  <c r="F8" i="41"/>
  <c r="G8" i="41"/>
  <c r="H8" i="41"/>
  <c r="C9" i="41"/>
  <c r="D9" i="41"/>
  <c r="E9" i="41"/>
  <c r="F9" i="41"/>
  <c r="G9" i="41"/>
  <c r="H9" i="41"/>
  <c r="C10" i="41"/>
  <c r="D10" i="41"/>
  <c r="E10" i="41"/>
  <c r="F10" i="41"/>
  <c r="G10" i="41"/>
  <c r="H10" i="41"/>
  <c r="C11" i="41"/>
  <c r="D11" i="41"/>
  <c r="E11" i="41"/>
  <c r="F11" i="41"/>
  <c r="G11" i="41"/>
  <c r="H11" i="41"/>
  <c r="C12" i="41"/>
  <c r="D12" i="41"/>
  <c r="E12" i="41"/>
  <c r="F12" i="41"/>
  <c r="G12" i="41"/>
  <c r="H12" i="41"/>
  <c r="C13" i="41"/>
  <c r="D13" i="41"/>
  <c r="E13" i="41"/>
  <c r="F13" i="41"/>
  <c r="G13" i="41"/>
  <c r="H13" i="41"/>
  <c r="C14" i="41"/>
  <c r="D14" i="41"/>
  <c r="E14" i="41"/>
  <c r="F14" i="41"/>
  <c r="G14" i="41"/>
  <c r="H14" i="41"/>
  <c r="C15" i="41"/>
  <c r="D15" i="41"/>
  <c r="E15" i="41"/>
  <c r="F15" i="41"/>
  <c r="G15" i="41"/>
  <c r="H15" i="41"/>
  <c r="C16" i="41"/>
  <c r="D16" i="41"/>
  <c r="E16" i="41"/>
  <c r="F16" i="41"/>
  <c r="G16" i="41"/>
  <c r="H16" i="41"/>
  <c r="C17" i="41"/>
  <c r="D17" i="41"/>
  <c r="E17" i="41"/>
  <c r="F17" i="41"/>
  <c r="G17" i="41"/>
  <c r="H17" i="41"/>
  <c r="C18" i="41"/>
  <c r="D18" i="41"/>
  <c r="E18" i="41"/>
  <c r="F18" i="41"/>
  <c r="G18" i="41"/>
  <c r="H18" i="41"/>
  <c r="H3" i="41"/>
  <c r="G3" i="41"/>
  <c r="F3" i="41"/>
  <c r="E3" i="41"/>
  <c r="D3" i="41"/>
  <c r="C3" i="41"/>
  <c r="I4" i="41"/>
  <c r="G30" i="40" l="1"/>
  <c r="G26" i="40"/>
  <c r="G22" i="40"/>
  <c r="G18" i="40"/>
  <c r="G14" i="40"/>
  <c r="G10" i="40"/>
  <c r="G6" i="40"/>
  <c r="G27" i="40"/>
  <c r="G23" i="40"/>
  <c r="G19" i="40"/>
  <c r="G15" i="40"/>
  <c r="G11" i="40"/>
  <c r="J9" i="41"/>
  <c r="I7" i="41"/>
  <c r="J5" i="41"/>
  <c r="H11" i="23" s="1"/>
  <c r="J15" i="41"/>
  <c r="J17" i="41"/>
  <c r="J13" i="41"/>
  <c r="J11" i="41"/>
  <c r="H15" i="23" s="1"/>
  <c r="J7" i="41"/>
  <c r="I8" i="41"/>
  <c r="I11" i="41"/>
  <c r="I12" i="41"/>
  <c r="I16" i="41"/>
  <c r="I15" i="41"/>
  <c r="I9" i="41"/>
  <c r="I5" i="41"/>
  <c r="I13" i="41"/>
  <c r="I14" i="41"/>
  <c r="I10" i="41"/>
  <c r="I6" i="41"/>
  <c r="I18" i="41"/>
  <c r="J18" i="41"/>
  <c r="J16" i="41"/>
  <c r="R13" i="23" s="1"/>
  <c r="J14" i="41"/>
  <c r="J12" i="41"/>
  <c r="J10" i="41"/>
  <c r="J8" i="41"/>
  <c r="J6" i="41"/>
  <c r="H13" i="23" s="1"/>
  <c r="J4" i="41"/>
  <c r="I17" i="41"/>
  <c r="J3" i="41"/>
  <c r="I3" i="41"/>
  <c r="D19" i="41"/>
  <c r="C19" i="41"/>
  <c r="F19" i="41" l="1"/>
  <c r="E19" i="41"/>
  <c r="I19" i="41" l="1"/>
  <c r="J19" i="41"/>
  <c r="G19" i="41"/>
  <c r="H19" i="41"/>
  <c r="AK22" i="40"/>
  <c r="AK23" i="40"/>
  <c r="AK24" i="40"/>
  <c r="AK21" i="40"/>
  <c r="AK20" i="40"/>
  <c r="K3" i="41" l="1"/>
  <c r="K5" i="41"/>
  <c r="K18" i="41"/>
  <c r="K10" i="41"/>
  <c r="K16" i="41"/>
  <c r="K4" i="41"/>
  <c r="K12" i="41"/>
  <c r="K13" i="41"/>
  <c r="K6" i="41"/>
  <c r="K8" i="41"/>
  <c r="K17" i="41"/>
  <c r="K9" i="41"/>
  <c r="K7" i="41"/>
  <c r="K11" i="41"/>
  <c r="K14" i="41"/>
  <c r="K15" i="41"/>
  <c r="K19" i="41" l="1"/>
  <c r="AK10" i="40" l="1"/>
  <c r="AN9" i="40"/>
  <c r="AN6" i="40"/>
  <c r="AN7" i="40"/>
  <c r="AK16" i="40"/>
  <c r="AN3" i="40"/>
  <c r="AN5" i="40"/>
  <c r="AK15" i="40"/>
  <c r="AK19" i="40"/>
  <c r="AN8" i="40"/>
  <c r="G4" i="40" l="1"/>
  <c r="AK7" i="40"/>
  <c r="AK12" i="40"/>
  <c r="AK11" i="40"/>
  <c r="AK13" i="40"/>
  <c r="AK8" i="40"/>
  <c r="J6" i="40"/>
  <c r="J24" i="40"/>
  <c r="J8" i="40"/>
  <c r="J11" i="40"/>
  <c r="J25" i="40"/>
  <c r="J22" i="40"/>
  <c r="J9" i="40"/>
  <c r="D4" i="40"/>
  <c r="J4" i="40" s="1"/>
  <c r="J29" i="40"/>
  <c r="J23" i="40"/>
  <c r="J17" i="40"/>
  <c r="J7" i="40"/>
  <c r="J5" i="40"/>
  <c r="J27" i="40"/>
  <c r="J19" i="40"/>
  <c r="J18" i="40"/>
  <c r="J16" i="40"/>
  <c r="J15" i="40"/>
  <c r="J13" i="40"/>
  <c r="J12" i="40"/>
  <c r="J10" i="40"/>
  <c r="J21" i="40"/>
  <c r="J20" i="40"/>
  <c r="AN4" i="40"/>
  <c r="J30" i="40"/>
  <c r="AK9" i="40" l="1"/>
  <c r="AK6" i="40"/>
  <c r="AK5" i="40" s="1"/>
  <c r="AK4" i="40" s="1"/>
  <c r="AK3" i="40" s="1"/>
  <c r="J28" i="40"/>
  <c r="J26" i="40"/>
  <c r="J14" i="40"/>
  <c r="N14" i="23" l="1"/>
  <c r="N11" i="23"/>
  <c r="D10" i="8"/>
  <c r="F82" i="15"/>
  <c r="J20" i="41" l="1"/>
  <c r="J21" i="41" s="1"/>
  <c r="A1" i="15" l="1"/>
  <c r="E5" i="23" l="1"/>
  <c r="D5" i="23"/>
  <c r="D21" i="8"/>
  <c r="D13" i="8"/>
  <c r="E11" i="8" l="1"/>
  <c r="G5" i="23"/>
  <c r="F5" i="23"/>
  <c r="D9" i="8"/>
  <c r="D8" i="8" l="1"/>
  <c r="C21" i="8"/>
  <c r="E21" i="8" s="1"/>
  <c r="C13" i="8"/>
  <c r="E13" i="8" s="1"/>
  <c r="E4" i="23" l="1"/>
  <c r="G4" i="23" s="1"/>
  <c r="D7" i="8"/>
  <c r="D24" i="8" s="1"/>
  <c r="E14" i="8" l="1"/>
  <c r="F19" i="8"/>
  <c r="F23" i="8"/>
  <c r="F12" i="8"/>
  <c r="F14" i="8"/>
  <c r="F16" i="8"/>
  <c r="F18" i="8"/>
  <c r="F20" i="8"/>
  <c r="F22" i="8"/>
  <c r="F24" i="8"/>
  <c r="F11" i="8"/>
  <c r="F15" i="8"/>
  <c r="F17" i="8"/>
  <c r="F10" i="8"/>
  <c r="F13" i="8"/>
  <c r="F21" i="8"/>
  <c r="F9" i="8"/>
  <c r="F8" i="8"/>
  <c r="O6" i="23"/>
  <c r="O14" i="23"/>
  <c r="P14" i="23" s="1"/>
  <c r="O11" i="23"/>
  <c r="P11" i="23" s="1"/>
  <c r="O12" i="23" l="1"/>
  <c r="C10" i="8" l="1"/>
  <c r="E10" i="8" s="1"/>
  <c r="C9" i="8" l="1"/>
  <c r="E9" i="8" s="1"/>
  <c r="C8" i="8" l="1"/>
  <c r="E8" i="8" s="1"/>
  <c r="D4" i="23" l="1"/>
  <c r="F4" i="23" s="1"/>
  <c r="C7" i="8"/>
  <c r="E7" i="8" s="1"/>
  <c r="E6" i="23"/>
  <c r="D6" i="23" l="1"/>
  <c r="D8" i="23" s="1"/>
  <c r="D18" i="23" s="1"/>
  <c r="N6" i="23"/>
  <c r="P6" i="23" s="1"/>
  <c r="C24" i="8"/>
  <c r="E24" i="8" s="1"/>
  <c r="E8" i="23"/>
  <c r="F7" i="8"/>
  <c r="F8" i="23" l="1"/>
  <c r="F6" i="23"/>
  <c r="D14" i="23"/>
  <c r="D16" i="23"/>
  <c r="D20" i="23"/>
  <c r="D22" i="23"/>
  <c r="D12" i="23"/>
  <c r="D24" i="23"/>
  <c r="N12" i="23"/>
  <c r="P12" i="23" s="1"/>
  <c r="E20" i="23"/>
  <c r="E16" i="23"/>
  <c r="E22" i="23"/>
  <c r="E12" i="23"/>
  <c r="E24" i="23"/>
  <c r="E14" i="23"/>
  <c r="E18" i="23"/>
  <c r="F18" i="23" s="1"/>
  <c r="F22" i="23" l="1"/>
  <c r="F20" i="23"/>
  <c r="F16" i="23"/>
  <c r="F14" i="23"/>
  <c r="F12" i="23"/>
  <c r="F24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Tania Mara Chaves Daldegan</author>
  </authors>
  <commentList>
    <comment ref="D5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5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F5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Utilizar a informação do Parecer da Reprogramação 2021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0" authorId="0" shapeId="0" xr:uid="{00000000-0006-0000-0100-000004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10" authorId="0" shapeId="0" xr:uid="{00000000-0006-0000-0100-000005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31" authorId="0" shapeId="0" xr:uid="{00000000-0006-0000-0100-000006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31" authorId="0" shapeId="0" xr:uid="{00000000-0006-0000-0100-000007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38" authorId="0" shapeId="0" xr:uid="{00000000-0006-0000-0100-000008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38" authorId="0" shapeId="0" xr:uid="{00000000-0006-0000-0100-000009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47" authorId="0" shapeId="0" xr:uid="{00000000-0006-0000-0100-00000A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47" authorId="0" shapeId="0" xr:uid="{00000000-0006-0000-0100-00000B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49" authorId="0" shapeId="0" xr:uid="{00000000-0006-0000-0100-00000C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49" authorId="0" shapeId="0" xr:uid="{00000000-0006-0000-0100-00000D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54" authorId="0" shapeId="0" xr:uid="{00000000-0006-0000-0100-00000E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54" authorId="0" shapeId="0" xr:uid="{00000000-0006-0000-0100-00000F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65" authorId="0" shapeId="0" xr:uid="{00000000-0006-0000-0100-000010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65" authorId="0" shapeId="0" xr:uid="{00000000-0006-0000-0100-000011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72" authorId="0" shapeId="0" xr:uid="{00000000-0006-0000-0100-000012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72" authorId="0" shapeId="0" xr:uid="{00000000-0006-0000-0100-000013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79" authorId="0" shapeId="0" xr:uid="{00000000-0006-0000-0100-000014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79" authorId="0" shapeId="0" xr:uid="{00000000-0006-0000-0100-000015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90" authorId="0" shapeId="0" xr:uid="{00000000-0006-0000-0100-000016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90" authorId="0" shapeId="0" xr:uid="{00000000-0006-0000-0100-000017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97" authorId="0" shapeId="0" xr:uid="{00000000-0006-0000-0100-000018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97" authorId="0" shapeId="0" xr:uid="{00000000-0006-0000-0100-000019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100" authorId="0" shapeId="0" xr:uid="{00000000-0006-0000-0100-00001A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100" authorId="0" shapeId="0" xr:uid="{00000000-0006-0000-0100-00001B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104" authorId="0" shapeId="0" xr:uid="{00000000-0006-0000-0100-00001C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104" authorId="0" shapeId="0" xr:uid="{00000000-0006-0000-0100-00001D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 Milhomem Brito Menezes</author>
    <author>Fabiana Pereira Siqueira</author>
    <author>Tania Mara Chaves Daldegan</author>
  </authors>
  <commentList>
    <comment ref="A5" authorId="0" shapeId="0" xr:uid="{00000000-0006-0000-0200-000001000000}">
      <text>
        <r>
          <rPr>
            <b/>
            <sz val="16"/>
            <color indexed="81"/>
            <rFont val="Tahoma"/>
            <family val="2"/>
          </rPr>
          <t>Área ou setor responsável pela Atividade ou Projeto</t>
        </r>
      </text>
    </comment>
    <comment ref="B5" authorId="0" shapeId="0" xr:uid="{00000000-0006-0000-0200-000002000000}">
      <text>
        <r>
          <rPr>
            <b/>
            <sz val="14"/>
            <color indexed="81"/>
            <rFont val="Calibri Light"/>
            <family val="2"/>
            <scheme val="major"/>
          </rPr>
          <t>P= Projeto                                         A= Atividade 
PE= Projeto Específico
P.= Projeto não executado                                        A. = Atividade não executada
PE. = Projeto Específico não executado</t>
        </r>
      </text>
    </comment>
    <comment ref="C5" authorId="0" shapeId="0" xr:uid="{00000000-0006-0000-0200-000003000000}">
      <text>
        <r>
          <rPr>
            <b/>
            <sz val="13"/>
            <color indexed="81"/>
            <rFont val="Tahoma"/>
            <family val="2"/>
          </rPr>
          <t>Nome do Projeto ou Atividade do Plano de Ação, conforme o parecer aprovado da Reprogramação 2022</t>
        </r>
      </text>
    </comment>
    <comment ref="D5" authorId="0" shapeId="0" xr:uid="{00000000-0006-0000-0200-000004000000}">
      <text>
        <r>
          <rPr>
            <b/>
            <sz val="12"/>
            <color indexed="81"/>
            <rFont val="Tahoma"/>
            <family val="2"/>
          </rPr>
          <t>Selecionar uma das opções nas células abaixo que estão de acordo com os objetivos estratégicos do Mapa Estratégico no âmbito das perspectivas da Sociedade, Processos Internos, Alavancadores e Pessoas e Infraestrutura.</t>
        </r>
      </text>
    </comment>
    <comment ref="E5" authorId="1" shapeId="0" xr:uid="{00000000-0006-0000-0200-000005000000}">
      <text>
        <r>
          <rPr>
            <b/>
            <sz val="12"/>
            <color indexed="81"/>
            <rFont val="Calibri"/>
            <family val="2"/>
            <scheme val="minor"/>
          </rPr>
          <t>Usar o último valor APROVADO no parecer do Plano de Ação do Reprogramado  Exercício de 2022, sem transposição.</t>
        </r>
      </text>
    </comment>
    <comment ref="F5" authorId="2" shapeId="0" xr:uid="{00000000-0006-0000-0200-000006000000}">
      <text>
        <r>
          <rPr>
            <b/>
            <sz val="11"/>
            <color indexed="81"/>
            <rFont val="Segoe UI"/>
            <family val="2"/>
          </rPr>
          <t xml:space="preserve">Retirar do SISCONT. NET, no caminho: "Centro de Custos&gt; Relatórios&gt; Demonstrativo de empenhos/pagamentos- período de: 01/01/2022 até 31/12/2022 na coluna do ORÇADO.
</t>
        </r>
      </text>
    </comment>
    <comment ref="G5" authorId="1" shapeId="0" xr:uid="{00000000-0006-0000-0200-000007000000}">
      <text>
        <r>
          <rPr>
            <b/>
            <sz val="12"/>
            <color indexed="81"/>
            <rFont val="Calibri"/>
            <family val="2"/>
            <scheme val="minor"/>
          </rPr>
          <t>Retirar do SISCONT. NET, no caminho: "Centro de Custos&gt; Relatórios&gt; Demonstrativo de empenhos/pagamentos- período de: 01/01/2022 até 31/12/2022 na coluna do EMPENHOS.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 Milhomem Brito Menezes</author>
    <author>Fabiana Pereira Siqueira</author>
  </authors>
  <commentList>
    <comment ref="C4" authorId="0" shapeId="0" xr:uid="{00000000-0006-0000-0300-000001000000}">
      <text>
        <r>
          <rPr>
            <b/>
            <sz val="12"/>
            <color indexed="81"/>
            <rFont val="Calibri Light"/>
            <family val="2"/>
            <scheme val="major"/>
          </rPr>
          <t>usar o último valor APROVADO no parecer da Reprogramação do Plano de Ação do Exercício de 2022, sem transposição.</t>
        </r>
      </text>
    </comment>
    <comment ref="D4" authorId="1" shapeId="0" xr:uid="{00000000-0006-0000-0300-000002000000}">
      <text>
        <r>
          <rPr>
            <b/>
            <sz val="12"/>
            <color indexed="81"/>
            <rFont val="Calibri"/>
            <family val="2"/>
            <scheme val="minor"/>
          </rPr>
          <t>retirar do SISCONT. NET, no caminho:  "Contabilidade&gt; Relatórios&gt; Balanço Orçamentário"; período de 01/01/2022 até 31/12/2022; na coluna das RECEITAS REALIZADAS.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Fabiana Pereira Siqueira</author>
    <author>Gustavo Milhomem Brito Menezes</author>
    <author>Marcos Cristino</author>
    <author>Tania Mara Chaves Daldegan</author>
    <author>Fabiana ...</author>
  </authors>
  <commentList>
    <comment ref="D3" authorId="0" shapeId="0" xr:uid="{00000000-0006-0000-0400-000001000000}">
      <text>
        <r>
          <rPr>
            <b/>
            <sz val="12"/>
            <color indexed="81"/>
            <rFont val="Calibri"/>
            <family val="2"/>
            <scheme val="minor"/>
          </rPr>
          <t>usar o último valor APROVADO no parecer da Reprogramação do Plano de Ação do Exercício de 2022, sem transposição.</t>
        </r>
      </text>
    </comment>
    <comment ref="E3" authorId="0" shapeId="0" xr:uid="{00000000-0006-0000-0400-000002000000}">
      <text>
        <r>
          <rPr>
            <b/>
            <sz val="12"/>
            <color indexed="81"/>
            <rFont val="Calibri"/>
            <family val="2"/>
            <scheme val="minor"/>
          </rPr>
          <t>RECEITAS : retirar do SISCONT. NET, no caminho:  "Contabilidade&gt; Relatórios&gt; Balanço Orçamentário"; período de 01/01/2022 até 31/12/2022; na coluna das RECEITAS REALIZADAS 
Fundo de Apoio (FA): Retirar do SISCONT. NET, no caminho: "Centro de Custos&gt; Relatórios&gt; Demonstrativo de empenhos/pagamentos- período de: 01/01/2022 até 31/12/2022 na coluna do EMPENHOS.</t>
        </r>
      </text>
    </comment>
    <comment ref="N3" authorId="0" shapeId="0" xr:uid="{00000000-0006-0000-0400-000003000000}">
      <text>
        <r>
          <rPr>
            <b/>
            <sz val="12"/>
            <color indexed="81"/>
            <rFont val="Calibri"/>
            <family val="2"/>
            <scheme val="minor"/>
          </rPr>
          <t>usar o último valor APROVADO no parecer da Reprogramação do Plano de Ação do Exercício de 2022, sem transposição.</t>
        </r>
      </text>
    </comment>
    <comment ref="O3" authorId="0" shapeId="0" xr:uid="{00000000-0006-0000-0400-000004000000}">
      <text>
        <r>
          <rPr>
            <b/>
            <sz val="12"/>
            <color indexed="81"/>
            <rFont val="Calibri"/>
            <family val="2"/>
            <scheme val="minor"/>
          </rPr>
          <t xml:space="preserve">DESPESAS: Retirar do SISCONT. NET,  Balanço Orçamentário ou do Relatório de Despesas Pagas: 01/01/2022 até 31/12/2022 na coluna do EMPENHOS.
RECEITAS : retirar do SISCONT. NET, no caminho:  "Contabilidade&gt; Relatórios&gt; Balanço Orçamentário"; período de 01/01/2022 até 31/12/2022; na coluna das RECEITAS REALIZADAS </t>
        </r>
      </text>
    </comment>
    <comment ref="B4" authorId="1" shapeId="0" xr:uid="{00000000-0006-0000-0400-000005000000}">
      <text>
        <r>
          <rPr>
            <b/>
            <sz val="11"/>
            <color indexed="81"/>
            <rFont val="Tahoma"/>
            <family val="2"/>
          </rPr>
          <t>Vinculada as Receitas de Arrecadação do Anexo 1.1 - Usos e Fonte COM os valores das anuidades de exercícios anteriores.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B5" authorId="1" shapeId="0" xr:uid="{00000000-0006-0000-0400-000006000000}">
      <text>
        <r>
          <rPr>
            <b/>
            <sz val="9"/>
            <color indexed="81"/>
            <rFont val="Tahoma"/>
            <family val="2"/>
          </rPr>
          <t>Apenas para os Cau Básicos. O valor total deve ser igual do que consta nas Diretrizes da Programação 2021.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2" shapeId="0" xr:uid="{00000000-0006-0000-0400-000007000000}">
      <text>
        <r>
          <rPr>
            <sz val="9"/>
            <color indexed="81"/>
            <rFont val="Segoe UI"/>
            <family val="2"/>
          </rPr>
          <t>Apresentar detalhamento no campo de comentários.</t>
        </r>
      </text>
    </comment>
    <comment ref="B6" authorId="1" shapeId="0" xr:uid="{00000000-0006-0000-0400-000008000000}">
      <text>
        <r>
          <rPr>
            <b/>
            <sz val="9"/>
            <color indexed="81"/>
            <rFont val="Tahoma"/>
            <family val="2"/>
          </rPr>
          <t>= Receita de Arrecadação + Recurso do Fundo de Apoio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1" shapeId="0" xr:uid="{00000000-0006-0000-0400-000009000000}">
      <text>
        <r>
          <rPr>
            <b/>
            <sz val="9"/>
            <color indexed="81"/>
            <rFont val="Tahoma"/>
            <family val="2"/>
          </rPr>
          <t>RAL= Receita de Arrecadação + Fundo de Apoio (apenas CAU Básicos) - Aporte FA</t>
        </r>
      </text>
    </comment>
    <comment ref="D10" authorId="0" shapeId="0" xr:uid="{00000000-0006-0000-0400-00000A000000}">
      <text>
        <r>
          <rPr>
            <b/>
            <sz val="12"/>
            <color indexed="81"/>
            <rFont val="Calibri"/>
            <family val="2"/>
            <scheme val="minor"/>
          </rPr>
          <t xml:space="preserve">usar o último valor APROVADO no parecer da Reprogramação do Plano de Ação do Exercício de 2022, sem transposição.
</t>
        </r>
      </text>
    </comment>
    <comment ref="E10" authorId="0" shapeId="0" xr:uid="{00000000-0006-0000-0400-00000B000000}">
      <text>
        <r>
          <rPr>
            <b/>
            <sz val="12"/>
            <color indexed="81"/>
            <rFont val="Calibri"/>
            <family val="2"/>
            <scheme val="minor"/>
          </rPr>
          <t>retirar do SISCONT. NET, no caminho: "Centro de Custos&gt; Relatórios&gt; Demonstrativo de empenhos/pagamentos- período de: 01/01/2022 até 31/12/2022; na coluna do EMPENHOS.</t>
        </r>
      </text>
    </comment>
    <comment ref="N10" authorId="0" shapeId="0" xr:uid="{00000000-0006-0000-0400-00000C000000}">
      <text>
        <r>
          <rPr>
            <b/>
            <sz val="12"/>
            <color indexed="81"/>
            <rFont val="Calibri"/>
            <family val="2"/>
            <scheme val="minor"/>
          </rPr>
          <t>usar o último valor APROVADO no parecer da Reprogramação do Plano de Ação do Exercício de 2022, sem transposição.</t>
        </r>
      </text>
    </comment>
    <comment ref="O10" authorId="0" shapeId="0" xr:uid="{00000000-0006-0000-0400-00000D000000}">
      <text>
        <r>
          <rPr>
            <b/>
            <sz val="12"/>
            <color indexed="81"/>
            <rFont val="Calibri"/>
            <family val="2"/>
            <scheme val="minor"/>
          </rPr>
          <t xml:space="preserve">DESPESAS
 : Retirar do SISCONT. NET, no caminho: "Centro de Custos&gt; Relatórios&gt; Demonstrativo de empenhos/pagamentos- período de: 01/01/2022 até 31/12/2022 na coluna do EMPENHOS.
</t>
        </r>
      </text>
    </comment>
    <comment ref="F11" authorId="3" shapeId="0" xr:uid="{00000000-0006-0000-0400-00000E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1" authorId="4" shapeId="0" xr:uid="{00000000-0006-0000-0400-00000F000000}">
      <text>
        <r>
          <rPr>
            <sz val="12"/>
            <color indexed="81"/>
            <rFont val="Segoe UI"/>
            <family val="2"/>
          </rPr>
          <t>Não considerar o valor total das rescisões contratuais, auxílio alimentação, auxílio transporte, plano de saúde e demais benefícios</t>
        </r>
      </text>
    </comment>
    <comment ref="F12" authorId="3" shapeId="0" xr:uid="{00000000-0006-0000-0400-000010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3" authorId="3" shapeId="0" xr:uid="{00000000-0006-0000-0400-000011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3" authorId="4" shapeId="0" xr:uid="{00000000-0006-0000-0400-000012000000}">
      <text>
        <r>
          <rPr>
            <sz val="12"/>
            <color indexed="81"/>
            <rFont val="Segoe UI"/>
            <family val="2"/>
          </rPr>
          <t xml:space="preserve"> Folhas de pagamento (salários, encargos e benefícios)</t>
        </r>
      </text>
    </comment>
    <comment ref="F14" authorId="3" shapeId="0" xr:uid="{00000000-0006-0000-0400-000013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5" authorId="3" shapeId="0" xr:uid="{00000000-0006-0000-0400-000014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6" authorId="3" shapeId="0" xr:uid="{00000000-0006-0000-0400-000015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7" authorId="3" shapeId="0" xr:uid="{00000000-0006-0000-0400-000016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8" authorId="3" shapeId="0" xr:uid="{00000000-0006-0000-0400-000017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9" authorId="3" shapeId="0" xr:uid="{00000000-0006-0000-0400-000018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0" authorId="3" shapeId="0" xr:uid="{00000000-0006-0000-0400-000019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1" authorId="3" shapeId="0" xr:uid="{00000000-0006-0000-0400-00001A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2" authorId="3" shapeId="0" xr:uid="{00000000-0006-0000-0400-00001B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3" authorId="3" shapeId="0" xr:uid="{00000000-0006-0000-0400-00001C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4" authorId="3" shapeId="0" xr:uid="{00000000-0006-0000-0400-00001D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Cristino</author>
  </authors>
  <commentList>
    <comment ref="AK15" authorId="0" shapeId="0" xr:uid="{00000000-0006-0000-0600-000001000000}">
      <text>
        <r>
          <rPr>
            <sz val="9"/>
            <color indexed="81"/>
            <rFont val="Segoe UI"/>
            <family val="2"/>
          </rPr>
          <t>Valor apenas do Ressarcimento de Taxas Bancárias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Flavia Rios Costa</author>
    <author>Gustavo Milhomem Brito Menezes</author>
  </authors>
  <commentList>
    <comment ref="C5" authorId="0" shapeId="0" xr:uid="{7C02702C-D8FD-4FE1-A2B7-14FE1DDBDB76}">
      <text>
        <r>
          <rPr>
            <b/>
            <sz val="12"/>
            <color indexed="81"/>
            <rFont val="Segoe UI"/>
            <family val="2"/>
          </rPr>
          <t>O valor da Reprogramação 2021 deve ser igual ao valor APROVADO vigente no Plano de Ação 2021.</t>
        </r>
      </text>
    </comment>
    <comment ref="D6" authorId="1" shapeId="0" xr:uid="{00631884-5C8E-4FA7-AB7D-82F04FAA0CAA}">
      <text>
        <r>
          <rPr>
            <b/>
            <sz val="12"/>
            <color indexed="81"/>
            <rFont val="Tahoma"/>
            <family val="2"/>
          </rPr>
          <t>O valor das "Receitas realizadas 2022": retirar do SISCONT. NET, no caminho:  "Contabilidade&gt; Relatórios-&gt;Consolidado&gt;comparativo da receita"; período de 01/01/2022 até 31/05/2022; na coluna "Arrec.Período"</t>
        </r>
      </text>
    </comment>
    <comment ref="E6" authorId="1" shapeId="0" xr:uid="{C8AEF138-974F-4EB9-B34C-FDAE0ECF5127}">
      <text>
        <r>
          <rPr>
            <b/>
            <sz val="12"/>
            <color indexed="81"/>
            <rFont val="Tahoma"/>
            <family val="2"/>
          </rPr>
          <t>De acordo com as ações e metas a serem executadas em 2022.</t>
        </r>
      </text>
    </comment>
    <comment ref="F6" authorId="1" shapeId="0" xr:uid="{A8682344-03FD-476B-981F-3984DB71D876}">
      <text>
        <r>
          <rPr>
            <b/>
            <sz val="12"/>
            <color indexed="81"/>
            <rFont val="Tahoma"/>
            <family val="2"/>
          </rPr>
          <t xml:space="preserve">Observar os valores que estão nas Diretrizes da Reprogramação 2022 para Anuidades, RRT, Taxas e Multas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<sst xmlns="http://schemas.openxmlformats.org/spreadsheetml/2006/main" count="1002" uniqueCount="628">
  <si>
    <t>Imobilizado</t>
  </si>
  <si>
    <t>Unidade Responsável</t>
  </si>
  <si>
    <t>Denominação</t>
  </si>
  <si>
    <t>TOTAL</t>
  </si>
  <si>
    <t>Especificação</t>
  </si>
  <si>
    <t>1. Receitas Correntes</t>
  </si>
  <si>
    <t>1.1.1 Anuidades</t>
  </si>
  <si>
    <t>1.1.1.1 Pessoa Física</t>
  </si>
  <si>
    <t>1.1.1.2 Pessoa Jurídica</t>
  </si>
  <si>
    <t>1.2 Aplicações Financeiras</t>
  </si>
  <si>
    <t>1.4 Fundo de Apoio</t>
  </si>
  <si>
    <t>2.1 Saldos de Exercícios Anteriores (Superávit Financeiro)</t>
  </si>
  <si>
    <t xml:space="preserve"> I – TOTAL</t>
  </si>
  <si>
    <t>Valores em R$ 1,00</t>
  </si>
  <si>
    <t>Impactar significativamente o planejamento e a gestão do território</t>
  </si>
  <si>
    <t>Tornar a fiscalização um vetor de melhoria do exercício da Arquitetura e Urbanismo</t>
  </si>
  <si>
    <t>Assegurar a eficácia no atendimento e no relacionamento com os arquitetos e urbanistas e a sociedade</t>
  </si>
  <si>
    <t>Estimular o conhecimento, o uso de processos criativos e a difusão das melhores práticas em Arquitetura e Urbanismo</t>
  </si>
  <si>
    <t>Garantir a participação dos arquitetos e urbanistas no planejamento territorial e na gestão urbana</t>
  </si>
  <si>
    <t>Estimular a produção da arquitetura e urbanismo como política de Estado</t>
  </si>
  <si>
    <t>Assegurar a eficácia no relacionamento e comunicação com a sociedade</t>
  </si>
  <si>
    <t>Promover o exercício ético e qualificado da profissão</t>
  </si>
  <si>
    <t>Fomentar o acesso da sociedade à Arquitetura e Urbanismo</t>
  </si>
  <si>
    <t>Assegurar a sustentabilidade financeira</t>
  </si>
  <si>
    <t>Aprimorar e inovar os processos e as ações</t>
  </si>
  <si>
    <t>Desenvolver competências de dirigentes e colaboradores</t>
  </si>
  <si>
    <t>Construir cultura organizacional adequada à estratégia</t>
  </si>
  <si>
    <t>Ter sistemas de informação e infraestrutura que viabilizem a gestão e o atendimento dos arquitetos e urbanistas e a sociedade</t>
  </si>
  <si>
    <t>Objetivo Estratégico Principal</t>
  </si>
  <si>
    <t>Material de Consumo</t>
  </si>
  <si>
    <t>Encargos Diversos</t>
  </si>
  <si>
    <t>Diárias</t>
  </si>
  <si>
    <t>BASE DE CÁLCULO</t>
  </si>
  <si>
    <t>APLICAÇÕES DE RECURSOS</t>
  </si>
  <si>
    <t xml:space="preserve">FOLHA DE PAGAMENTO </t>
  </si>
  <si>
    <t>2. Recursos do fundo de apoio (CAU Básico)</t>
  </si>
  <si>
    <t>Valor</t>
  </si>
  <si>
    <t xml:space="preserve">% </t>
  </si>
  <si>
    <t>LIMITES</t>
  </si>
  <si>
    <t xml:space="preserve">Fórmula </t>
  </si>
  <si>
    <t>B- INDICADORES DE RESULTADO</t>
  </si>
  <si>
    <t>A- INDICADORES INSTITUCIONAIS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</si>
  <si>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</si>
  <si>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</si>
  <si>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</si>
  <si>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</si>
  <si>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Pessoal e Encargos</t>
  </si>
  <si>
    <t>A. Pessoal e Encargos (Valores totais)</t>
  </si>
  <si>
    <t>1. QUADRO GERAL</t>
  </si>
  <si>
    <t>1.1.3 RRT</t>
  </si>
  <si>
    <t xml:space="preserve">BASE DE CÁLCULO </t>
  </si>
  <si>
    <t>5.  Receita da Arrecadação Líquida (RAL = 3 - 4)</t>
  </si>
  <si>
    <t>1.1.1.1.2 Anuidade Exercícios anteriores</t>
  </si>
  <si>
    <t>1.1.1.2.2 Anuidade Exercícios anteriores</t>
  </si>
  <si>
    <t>1.1 Receitas de Arrecadação Total</t>
  </si>
  <si>
    <t>x 100</t>
  </si>
  <si>
    <t>Semestral</t>
  </si>
  <si>
    <t>número de usuários satisfeitos com a solução da demanda</t>
  </si>
  <si>
    <t>número de usuários que responderam a pesquisa</t>
  </si>
  <si>
    <t>passivo circulante</t>
  </si>
  <si>
    <t>total de profissionais ativos</t>
  </si>
  <si>
    <t>total de empresas inadimplentes</t>
  </si>
  <si>
    <t>horas totais de treinamento</t>
  </si>
  <si>
    <t>número total de colaboradores e dirigentes</t>
  </si>
  <si>
    <t>total de usuários internos que participaram da pesquisa</t>
  </si>
  <si>
    <t>total de usuários externos que participaram da pesquisa</t>
  </si>
  <si>
    <t>01 - Erradicação da pobreza</t>
  </si>
  <si>
    <t>05 - Igualdade de gênero</t>
  </si>
  <si>
    <t>08 - Trabalho decente e crescimento econômico</t>
  </si>
  <si>
    <t>10 - Redução das desigualdades</t>
  </si>
  <si>
    <t>11 - Cidades e comunidades sustentáveis</t>
  </si>
  <si>
    <t>14 - Vida na água</t>
  </si>
  <si>
    <t>16 - Paz, justiça e instituições eficazes</t>
  </si>
  <si>
    <t>17 - Parcerias e meios de implementação</t>
  </si>
  <si>
    <t>02 - Fome zero e agricultura sustentável</t>
  </si>
  <si>
    <t>03 - Saúde e bem-estar</t>
  </si>
  <si>
    <t>04 - Educação de qualidade</t>
  </si>
  <si>
    <t>06 - Água limpa e saneamento</t>
  </si>
  <si>
    <t>09 - Inovação infraestrutura</t>
  </si>
  <si>
    <t>12 - Consumo e produção responsáveis</t>
  </si>
  <si>
    <t>13 - Ação contra a mudança global do clima</t>
  </si>
  <si>
    <t>15 - Vida terrestre</t>
  </si>
  <si>
    <t>Assegurar a eficácia no atendimento e no relacionamento com os Arquitetos e Urbanistas e a Sociedade</t>
  </si>
  <si>
    <t>Auto-Atendimento</t>
  </si>
  <si>
    <t>Qualificação dos Canais de Atendimento</t>
  </si>
  <si>
    <t>Ações Locais em Mídia</t>
  </si>
  <si>
    <t>Ações Nacionais em Mídia</t>
  </si>
  <si>
    <t>Atualização do Portal da Transparência</t>
  </si>
  <si>
    <t>Estimular a produção da Arquitetura e Urbanismo como política de Estado</t>
  </si>
  <si>
    <t>Representação em Instâncias Públicas</t>
  </si>
  <si>
    <t>Câmaras Temáticas</t>
  </si>
  <si>
    <t>Editais de Patrocínio</t>
  </si>
  <si>
    <t>Capacitação em ATHIS</t>
  </si>
  <si>
    <t>Cooperação Técnica para ATHIS</t>
  </si>
  <si>
    <t>Influenciar as diretrizes do ensino de Arquitetura e Urbanismo e sua formação continuada</t>
  </si>
  <si>
    <t>Ações de Melhoria da Qualidade do Ensino</t>
  </si>
  <si>
    <t>CAU nas Escolas</t>
  </si>
  <si>
    <t>Audiências de Conciliação</t>
  </si>
  <si>
    <t>Melhoria de Processo Ético</t>
  </si>
  <si>
    <t>Palestras e campanhas sobre Aspectos Éticos</t>
  </si>
  <si>
    <t>Cooperação Técnica para Fiscalização</t>
  </si>
  <si>
    <t>Plataforma de Georreferenciamento</t>
  </si>
  <si>
    <t>Fiscalização Orientativa</t>
  </si>
  <si>
    <t>Fiscalização em Obras</t>
  </si>
  <si>
    <t>Serviços de Terceiros- Diárias</t>
  </si>
  <si>
    <t>Serviços de Terceiros- Passagens</t>
  </si>
  <si>
    <t>Serviços de Terceiros- Serviços Prestados</t>
  </si>
  <si>
    <t>Serviços de Terceiros- Aluguéis e Encargos</t>
  </si>
  <si>
    <t>Transferências Correntes</t>
  </si>
  <si>
    <t>2.2 Outras Receitas de Capital</t>
  </si>
  <si>
    <t>1.3 Outras Receitas Correntes</t>
  </si>
  <si>
    <t>Não se aplica</t>
  </si>
  <si>
    <t>Atendimento Eletrônico</t>
  </si>
  <si>
    <t>Valorizar a Arquitetura e Urbanismo</t>
  </si>
  <si>
    <t>Garantir a participação dos Arquitetos e Urbanistas no planejamento territorial e na gestão urbana</t>
  </si>
  <si>
    <t xml:space="preserve">Reserva de Contingência </t>
  </si>
  <si>
    <t>RRT mínima</t>
  </si>
  <si>
    <t>número de usuários internos satisfeitos com a tecnologia</t>
  </si>
  <si>
    <t>número de usuários externos satisfeitos com a tecnologia</t>
  </si>
  <si>
    <t>ativo circulante</t>
  </si>
  <si>
    <t>total de profissionais inadimplentes</t>
  </si>
  <si>
    <t>número de processos éticos concluídos em um ano</t>
  </si>
  <si>
    <t>1.1.4 Taxas e Multas</t>
  </si>
  <si>
    <t xml:space="preserve">1. Receita de Arrecadação Total </t>
  </si>
  <si>
    <t>Sociedade</t>
  </si>
  <si>
    <t>número de municípios  da UF que possuem  Plano Diretor</t>
  </si>
  <si>
    <t>total de municípios da UF</t>
  </si>
  <si>
    <t xml:space="preserve">quantidade de ações de fiscalização realizadas pelo CAU/UF no mês </t>
  </si>
  <si>
    <t xml:space="preserve">número de ações de fiscalização previstas no Plano de Ação aprovado </t>
  </si>
  <si>
    <t>quantidade de obras e serviços regulares</t>
  </si>
  <si>
    <t>quantidade de obras e serviços fiscalizados pelo CAU/UF</t>
  </si>
  <si>
    <t>número total de RRT registrados (pagos) por mês</t>
  </si>
  <si>
    <t xml:space="preserve"> total de profissionais ativos </t>
  </si>
  <si>
    <t>quantidade de denúncias atendidas</t>
  </si>
  <si>
    <t>número de denúncias recebidas</t>
  </si>
  <si>
    <t>número de processos de fiscalização concluídos no semestre</t>
  </si>
  <si>
    <t xml:space="preserve"> número total de processos de fiscalização em aberto no ano</t>
  </si>
  <si>
    <t>quantidade de termos de cooperação técnica e parcerias para racionalização da ações de fiscalização</t>
  </si>
  <si>
    <t>número de termos e parcerias previstos no Plano de Ação</t>
  </si>
  <si>
    <t>quantidade mensal de ações de fiscalização realizada</t>
  </si>
  <si>
    <t>número de horas de fiscalização mensal</t>
  </si>
  <si>
    <t>quantidade obras e serviços com RRT</t>
  </si>
  <si>
    <t>quantidade de obras e serviços regularizados</t>
  </si>
  <si>
    <t>quantidade de obras e serviços regularizados com RRT</t>
  </si>
  <si>
    <t>quantidade obras e serviços regularizados</t>
  </si>
  <si>
    <t xml:space="preserve">número de reclamações recebidas pela Ouvidoria  no trimestre                                                                                                               </t>
  </si>
  <si>
    <t xml:space="preserve">número total de atendimentos pela Ouvidoria no trimestre                                   </t>
  </si>
  <si>
    <t>valor orçamentário investido (executado) em patrocínios no ano</t>
  </si>
  <si>
    <t>valor orçamentário destinado (orçado) em patrocínios no ano</t>
  </si>
  <si>
    <t>Quantidade de participantes presentes</t>
  </si>
  <si>
    <t>quantidade de participantes previstas no Plano de Ação Aprovado</t>
  </si>
  <si>
    <t>custos totais dos eventos</t>
  </si>
  <si>
    <t>quantidade de participantes presentes</t>
  </si>
  <si>
    <t>número de pessoas atingida pelo material produzido e distribuído</t>
  </si>
  <si>
    <t>quantidade de material informativo produzido</t>
  </si>
  <si>
    <t>número de ações com participação do CAU/UF</t>
  </si>
  <si>
    <t>número de municípios da UF que passaram a aplicar a Lei de Assistência Técnica</t>
  </si>
  <si>
    <t>número de escolas da UF com a disciplina de ética profissional na grade curricular</t>
  </si>
  <si>
    <t>número total de escolas da UF</t>
  </si>
  <si>
    <t>número total de processos éticos abertos</t>
  </si>
  <si>
    <t>tempo médio de conclusão de processos éticos</t>
  </si>
  <si>
    <t>tempo máximo para conclusão de processo</t>
  </si>
  <si>
    <t>total de RRT na UF</t>
  </si>
  <si>
    <t>população total da UF/1000 habitantes</t>
  </si>
  <si>
    <t>RRT Social</t>
  </si>
  <si>
    <t>receita corrente</t>
  </si>
  <si>
    <t>custo total de pessoal</t>
  </si>
  <si>
    <t xml:space="preserve">Semestral </t>
  </si>
  <si>
    <t xml:space="preserve">total de empresas ativas </t>
  </si>
  <si>
    <t>número de processos mapeados</t>
  </si>
  <si>
    <t xml:space="preserve">total de processos existentes </t>
  </si>
  <si>
    <t>número de processos normatizados</t>
  </si>
  <si>
    <t>total de processos existentes</t>
  </si>
  <si>
    <t>número de processos automatizados</t>
  </si>
  <si>
    <t>Número de ações executadas</t>
  </si>
  <si>
    <t xml:space="preserve">quantidade de ações executadas voltadas à cultura organizacional e estratégia                                                                                                                  </t>
  </si>
  <si>
    <t>Índice de cumprimento das metas do Plano de Ação (%)</t>
  </si>
  <si>
    <t>COMENTÁRIOS/JUSTIFICATIVAS:</t>
  </si>
  <si>
    <t>1.1.1.1.1 Anuidade do Exercício 2022</t>
  </si>
  <si>
    <t>1.1.1.2.1 Anuidade do Exercício 2022</t>
  </si>
  <si>
    <t>07 - Energia limpa e acessível </t>
  </si>
  <si>
    <t>número de solicitações tratadas no prazo estipulado pela Carta de Serviços no trimestre</t>
  </si>
  <si>
    <t>número de solicitações abertas no trimestre</t>
  </si>
  <si>
    <t>total de RRT pagos na UF</t>
  </si>
  <si>
    <t>total de profissionais potenciais pagantes</t>
  </si>
  <si>
    <r>
      <t xml:space="preserve">Índice de municípios que possuem  Plano Diretor, em conformidade com os critérios da legislação (%) 
</t>
    </r>
    <r>
      <rPr>
        <b/>
        <sz val="12"/>
        <color theme="1"/>
        <rFont val="Calibri"/>
        <family val="2"/>
        <scheme val="minor"/>
      </rPr>
      <t xml:space="preserve">(CAU/UF) </t>
    </r>
  </si>
  <si>
    <r>
      <t xml:space="preserve">Índice da capacidade de fiscalização (%) 
</t>
    </r>
    <r>
      <rPr>
        <b/>
        <sz val="12"/>
        <rFont val="Calibri"/>
        <family val="2"/>
        <scheme val="minor"/>
      </rPr>
      <t xml:space="preserve">(CAU/UF) </t>
    </r>
  </si>
  <si>
    <r>
      <t xml:space="preserve">Índice de presença profissional nas obras e  serviços fiscalizados  (%)
</t>
    </r>
    <r>
      <rPr>
        <b/>
        <sz val="12"/>
        <rFont val="Calibri"/>
        <family val="2"/>
        <scheme val="minor"/>
      </rPr>
      <t xml:space="preserve">(CAU/UF) </t>
    </r>
    <r>
      <rPr>
        <sz val="12"/>
        <rFont val="Calibri"/>
        <family val="2"/>
        <scheme val="minor"/>
      </rPr>
      <t xml:space="preserve">                   </t>
    </r>
  </si>
  <si>
    <r>
      <t xml:space="preserve">Índice de RRT por profissional ativo (Qtd)
</t>
    </r>
    <r>
      <rPr>
        <b/>
        <sz val="12"/>
        <rFont val="Calibri"/>
        <family val="2"/>
        <scheme val="minor"/>
      </rPr>
      <t xml:space="preserve">(CAU/UF)         </t>
    </r>
    <r>
      <rPr>
        <sz val="12"/>
        <rFont val="Calibri"/>
        <family val="2"/>
        <scheme val="minor"/>
      </rPr>
      <t xml:space="preserve">       </t>
    </r>
  </si>
  <si>
    <r>
      <t xml:space="preserve">Índice de capacidade de atendimento de denúncias 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</si>
  <si>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na conclusão de processos de fiscalização  (%)
</t>
    </r>
    <r>
      <rPr>
        <b/>
        <sz val="12"/>
        <rFont val="Calibri"/>
        <family val="2"/>
        <scheme val="minor"/>
      </rPr>
      <t>(CAU/UF)</t>
    </r>
  </si>
  <si>
    <r>
      <t xml:space="preserve">Índice da capacidade de articulação institucional para fiscalização (%)
</t>
    </r>
    <r>
      <rPr>
        <b/>
        <sz val="12"/>
        <rFont val="Calibri"/>
        <family val="2"/>
        <scheme val="minor"/>
      </rPr>
      <t>(CAU/UF)</t>
    </r>
  </si>
  <si>
    <r>
      <t xml:space="preserve">Índice produtividade de fiscalização (%)
</t>
    </r>
    <r>
      <rPr>
        <b/>
        <sz val="12"/>
        <rFont val="Calibri"/>
        <family val="2"/>
        <scheme val="minor"/>
      </rPr>
      <t>(CAU/UF)</t>
    </r>
  </si>
  <si>
    <r>
      <t xml:space="preserve">Índice de regularidade no CAU (%)
</t>
    </r>
    <r>
      <rPr>
        <b/>
        <sz val="12"/>
        <rFont val="Calibri"/>
        <family val="2"/>
        <scheme val="minor"/>
      </rPr>
      <t>(CAU/UF)</t>
    </r>
  </si>
  <si>
    <r>
      <t xml:space="preserve">Índice de regularização de obras e serviços (%)
</t>
    </r>
    <r>
      <rPr>
        <b/>
        <sz val="12"/>
        <rFont val="Calibri"/>
        <family val="2"/>
        <scheme val="minor"/>
      </rPr>
      <t>(CAU/UF)</t>
    </r>
  </si>
  <si>
    <r>
      <t xml:space="preserve">Índice de regularização com RRT (%)
</t>
    </r>
    <r>
      <rPr>
        <b/>
        <sz val="12"/>
        <rFont val="Calibri"/>
        <family val="2"/>
        <scheme val="minor"/>
      </rPr>
      <t>(CAU/UF)</t>
    </r>
  </si>
  <si>
    <r>
      <t xml:space="preserve">Índice de atendimento (%)
</t>
    </r>
    <r>
      <rPr>
        <b/>
        <sz val="12"/>
        <rFont val="Calibri"/>
        <family val="2"/>
        <scheme val="minor"/>
      </rPr>
      <t>(CAU/UF)</t>
    </r>
  </si>
  <si>
    <r>
      <t xml:space="preserve">Índice de satisfação com a solução da demanda (%)
</t>
    </r>
    <r>
      <rPr>
        <b/>
        <sz val="12"/>
        <rFont val="Calibri"/>
        <family val="2"/>
        <scheme val="minor"/>
      </rPr>
      <t>(CAU/UF)</t>
    </r>
  </si>
  <si>
    <r>
      <t xml:space="preserve">Índice de reclamações recebidas na Ouvidoria (%)
</t>
    </r>
    <r>
      <rPr>
        <b/>
        <sz val="12"/>
        <rFont val="Calibri"/>
        <family val="2"/>
        <scheme val="minor"/>
      </rPr>
      <t>(CAU/UF)</t>
    </r>
  </si>
  <si>
    <r>
      <t xml:space="preserve">Índice da capacidade de execução dos investimentos em patrocínios  (%)
</t>
    </r>
    <r>
      <rPr>
        <b/>
        <sz val="12"/>
        <rFont val="Calibri"/>
        <family val="2"/>
        <scheme val="minor"/>
      </rPr>
      <t>(CAU/UF)</t>
    </r>
  </si>
  <si>
    <r>
      <t xml:space="preserve">Índice de difusão de conhecimento em eventos próprios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</si>
  <si>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de custos de eventos próprios
</t>
    </r>
    <r>
      <rPr>
        <b/>
        <sz val="12"/>
        <rFont val="Calibri"/>
        <family val="2"/>
        <scheme val="minor"/>
      </rPr>
      <t>(CAU/UF)</t>
    </r>
  </si>
  <si>
    <r>
      <t xml:space="preserve">Índice de alcance das melhores práticas (%)
</t>
    </r>
    <r>
      <rPr>
        <b/>
        <sz val="12"/>
        <rFont val="Calibri"/>
        <family val="2"/>
        <scheme val="minor"/>
      </rPr>
      <t>(CAU/UF)</t>
    </r>
  </si>
  <si>
    <r>
      <t xml:space="preserve">Ações realizadas em conjunto com municípios, destinadas ao planejamento urbano
</t>
    </r>
    <r>
      <rPr>
        <b/>
        <sz val="12"/>
        <color theme="1"/>
        <rFont val="Calibri"/>
        <family val="2"/>
        <scheme val="minor"/>
      </rPr>
      <t>(CAU/UF)</t>
    </r>
  </si>
  <si>
    <r>
      <t xml:space="preserve">Participação do CAU na elaboração ou regulamentação da Lei da Assistência Técnica Gratuita (Lei nº 11.888/08) (%)
</t>
    </r>
    <r>
      <rPr>
        <b/>
        <sz val="12"/>
        <rFont val="Calibri"/>
        <family val="2"/>
        <scheme val="minor"/>
      </rPr>
      <t>(CAU/UF)</t>
    </r>
  </si>
  <si>
    <r>
      <t xml:space="preserve">Índice de ações realizadas destinadas à Assistência Técnica (%)
</t>
    </r>
    <r>
      <rPr>
        <b/>
        <sz val="12"/>
        <rFont val="Calibri"/>
        <family val="2"/>
        <scheme val="minor"/>
      </rPr>
      <t>(CAU/UF)</t>
    </r>
  </si>
  <si>
    <r>
      <t xml:space="preserve">Índice de escolas que possuem disciplinas com conteúdo sobre a ética profissional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</si>
  <si>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na conclusão de processos éticos (%)
</t>
    </r>
    <r>
      <rPr>
        <b/>
        <sz val="12"/>
        <rFont val="Calibri"/>
        <family val="2"/>
        <scheme val="minor"/>
      </rPr>
      <t>(CAU/UF)</t>
    </r>
  </si>
  <si>
    <r>
      <t xml:space="preserve">Eficiência no trâmite de processos éticos (dias)
</t>
    </r>
    <r>
      <rPr>
        <b/>
        <sz val="12"/>
        <rFont val="Calibri"/>
        <family val="2"/>
        <scheme val="minor"/>
      </rPr>
      <t>(CAU/UF)</t>
    </r>
  </si>
  <si>
    <r>
      <t xml:space="preserve">Índice de RRT por população (1.000 habitantes) (%)
</t>
    </r>
    <r>
      <rPr>
        <b/>
        <sz val="12"/>
        <rFont val="Calibri"/>
        <family val="2"/>
        <scheme val="minor"/>
      </rPr>
      <t>(CAU/UF)</t>
    </r>
  </si>
  <si>
    <r>
      <t xml:space="preserve">Índice de RRT mínimos (%)
</t>
    </r>
    <r>
      <rPr>
        <b/>
        <sz val="12"/>
        <rFont val="Calibri"/>
        <family val="2"/>
        <scheme val="minor"/>
      </rPr>
      <t>(CAU/UF)</t>
    </r>
  </si>
  <si>
    <r>
      <t xml:space="preserve">Índice de RRT Social (%)
</t>
    </r>
    <r>
      <rPr>
        <b/>
        <sz val="12"/>
        <rFont val="Calibri"/>
        <family val="2"/>
        <scheme val="minor"/>
      </rPr>
      <t>(CAU/UF)</t>
    </r>
  </si>
  <si>
    <r>
      <t xml:space="preserve">Índice de receita por arquiteto e urbanista 
</t>
    </r>
    <r>
      <rPr>
        <b/>
        <sz val="12"/>
        <rFont val="Calibri"/>
        <family val="2"/>
        <scheme val="minor"/>
      </rPr>
      <t>(CAU/UF)</t>
    </r>
  </si>
  <si>
    <r>
      <t xml:space="preserve">Relação receita/custo total de pessoal (%)
</t>
    </r>
    <r>
      <rPr>
        <b/>
        <sz val="12"/>
        <rFont val="Calibri"/>
        <family val="2"/>
        <scheme val="minor"/>
      </rPr>
      <t>(CAU/UF)</t>
    </r>
  </si>
  <si>
    <r>
      <t xml:space="preserve">Índice de liquidez corrente 
</t>
    </r>
    <r>
      <rPr>
        <b/>
        <sz val="12"/>
        <rFont val="Calibri"/>
        <family val="2"/>
        <scheme val="minor"/>
      </rPr>
      <t>(CAU/UF)</t>
    </r>
  </si>
  <si>
    <r>
      <t xml:space="preserve">Índice de inadimplência pessoa física (%)
</t>
    </r>
    <r>
      <rPr>
        <b/>
        <sz val="12"/>
        <rFont val="Calibri"/>
        <family val="2"/>
        <scheme val="minor"/>
      </rPr>
      <t>(CAU/UF)</t>
    </r>
  </si>
  <si>
    <r>
      <t xml:space="preserve">Índice de inadimplência pessoa jurídica (%)
</t>
    </r>
    <r>
      <rPr>
        <b/>
        <sz val="12"/>
        <rFont val="Calibri"/>
        <family val="2"/>
        <scheme val="minor"/>
      </rPr>
      <t>(CAU/UF)</t>
    </r>
  </si>
  <si>
    <r>
      <t xml:space="preserve">Índice de mapeamento processos (%)
</t>
    </r>
    <r>
      <rPr>
        <b/>
        <sz val="12"/>
        <rFont val="Calibri"/>
        <family val="2"/>
        <scheme val="minor"/>
      </rPr>
      <t>(CAU/UF)</t>
    </r>
  </si>
  <si>
    <r>
      <t xml:space="preserve">Índice de normatização de processos (%)
</t>
    </r>
    <r>
      <rPr>
        <b/>
        <sz val="12"/>
        <rFont val="Calibri"/>
        <family val="2"/>
        <scheme val="minor"/>
      </rPr>
      <t>(CAU/UF)</t>
    </r>
  </si>
  <si>
    <r>
      <t xml:space="preserve">Índice de automação de processos (%)
</t>
    </r>
    <r>
      <rPr>
        <b/>
        <sz val="12"/>
        <rFont val="Calibri"/>
        <family val="2"/>
        <scheme val="minor"/>
      </rPr>
      <t>(CAU/UF)</t>
    </r>
  </si>
  <si>
    <r>
      <t xml:space="preserve">Média de horas de treinamento por colaboradores e dirigentes
</t>
    </r>
    <r>
      <rPr>
        <b/>
        <sz val="12"/>
        <rFont val="Calibri"/>
        <family val="2"/>
        <scheme val="minor"/>
      </rPr>
      <t>(CAU/UF)</t>
    </r>
  </si>
  <si>
    <r>
      <t>total de iniciativas executadas</t>
    </r>
    <r>
      <rPr>
        <b/>
        <sz val="12"/>
        <rFont val="Calibri"/>
        <family val="2"/>
        <scheme val="minor"/>
      </rPr>
      <t xml:space="preserve">                                                                       </t>
    </r>
  </si>
  <si>
    <r>
      <t>total de iniciativas planejadas</t>
    </r>
    <r>
      <rPr>
        <b/>
        <sz val="12"/>
        <rFont val="Calibri"/>
        <family val="2"/>
        <scheme val="minor"/>
      </rPr>
      <t xml:space="preserve">                                                                                  </t>
    </r>
  </si>
  <si>
    <r>
      <t xml:space="preserve">Índice de satisfação interna com a tecnologia utilizada (%)
</t>
    </r>
    <r>
      <rPr>
        <b/>
        <sz val="12"/>
        <rFont val="Calibri"/>
        <family val="2"/>
        <scheme val="minor"/>
      </rPr>
      <t>(CAU/UF)</t>
    </r>
  </si>
  <si>
    <r>
      <t xml:space="preserve">Índice de satisfação externa com a tecnologia utilizada (%)
</t>
    </r>
    <r>
      <rPr>
        <b/>
        <sz val="12"/>
        <rFont val="Calibri"/>
        <family val="2"/>
        <scheme val="minor"/>
      </rPr>
      <t>(CAU/UF)</t>
    </r>
  </si>
  <si>
    <t>LEGENDA: P = PROJETO/ A = ATIVIDADE/ PE = PROJETO ESPECÍFICO / FA = FUNDO DE APOIO</t>
  </si>
  <si>
    <t>P</t>
  </si>
  <si>
    <t>A</t>
  </si>
  <si>
    <t>PE</t>
  </si>
  <si>
    <t>P.</t>
  </si>
  <si>
    <t>A.</t>
  </si>
  <si>
    <t>PE.</t>
  </si>
  <si>
    <t>2. Receitas de Capital</t>
  </si>
  <si>
    <r>
      <t xml:space="preserve">Fiscalização
</t>
    </r>
    <r>
      <rPr>
        <b/>
        <sz val="12"/>
        <color rgb="FF006871"/>
        <rFont val="Calibri"/>
        <family val="2"/>
        <scheme val="minor"/>
      </rPr>
      <t xml:space="preserve">(mínimo de 15 % do total da RAL)  </t>
    </r>
    <r>
      <rPr>
        <b/>
        <sz val="12"/>
        <color rgb="FF009999"/>
        <rFont val="Calibri"/>
        <family val="2"/>
        <scheme val="minor"/>
      </rPr>
      <t xml:space="preserve">  </t>
    </r>
    <r>
      <rPr>
        <b/>
        <sz val="12"/>
        <color indexed="8"/>
        <rFont val="Calibri"/>
        <family val="2"/>
        <scheme val="minor"/>
      </rPr>
      <t xml:space="preserve">                                                                     </t>
    </r>
  </si>
  <si>
    <r>
      <t xml:space="preserve">Atendimento
</t>
    </r>
    <r>
      <rPr>
        <b/>
        <sz val="12"/>
        <color rgb="FF006871"/>
        <rFont val="Calibri"/>
        <family val="2"/>
        <scheme val="minor"/>
      </rPr>
      <t>(mínimo de 10 % do total da RAL)</t>
    </r>
  </si>
  <si>
    <r>
      <t>Capacitação</t>
    </r>
    <r>
      <rPr>
        <b/>
        <sz val="12"/>
        <color indexed="10"/>
        <rFont val="Calibri"/>
        <family val="2"/>
        <scheme val="minor"/>
      </rPr>
      <t xml:space="preserve"> 
</t>
    </r>
    <r>
      <rPr>
        <b/>
        <sz val="12"/>
        <color rgb="FF006871"/>
        <rFont val="Calibri"/>
        <family val="2"/>
        <scheme val="minor"/>
      </rPr>
      <t>(mínimo de 2% e máximo de 4% da Folha de Pagamento)</t>
    </r>
    <r>
      <rPr>
        <b/>
        <sz val="12"/>
        <color theme="4" tint="-0.249977111117893"/>
        <rFont val="Calibri"/>
        <family val="2"/>
        <scheme val="minor"/>
      </rPr>
      <t xml:space="preserve">  </t>
    </r>
    <r>
      <rPr>
        <b/>
        <sz val="12"/>
        <rFont val="Calibri"/>
        <family val="2"/>
        <scheme val="minor"/>
      </rPr>
      <t xml:space="preserve">      </t>
    </r>
    <r>
      <rPr>
        <b/>
        <sz val="12"/>
        <color rgb="FF0070C0"/>
        <rFont val="Calibri"/>
        <family val="2"/>
        <scheme val="minor"/>
      </rPr>
      <t xml:space="preserve"> </t>
    </r>
    <r>
      <rPr>
        <b/>
        <sz val="12"/>
        <color indexed="57"/>
        <rFont val="Calibri"/>
        <family val="2"/>
        <scheme val="minor"/>
      </rPr>
      <t xml:space="preserve">         </t>
    </r>
  </si>
  <si>
    <r>
      <t xml:space="preserve">Comunicação
</t>
    </r>
    <r>
      <rPr>
        <b/>
        <sz val="12"/>
        <color rgb="FF006871"/>
        <rFont val="Calibri"/>
        <family val="2"/>
        <scheme val="minor"/>
      </rPr>
      <t>(mínimo de 3% do total da RAL)</t>
    </r>
    <r>
      <rPr>
        <b/>
        <sz val="12"/>
        <color rgb="FF0070C0"/>
        <rFont val="Calibri"/>
        <family val="2"/>
        <scheme val="minor"/>
      </rPr>
      <t xml:space="preserve">    </t>
    </r>
    <r>
      <rPr>
        <b/>
        <sz val="12"/>
        <color indexed="21"/>
        <rFont val="Calibri"/>
        <family val="2"/>
        <scheme val="minor"/>
      </rPr>
      <t xml:space="preserve">         </t>
    </r>
    <r>
      <rPr>
        <b/>
        <sz val="12"/>
        <color indexed="57"/>
        <rFont val="Calibri"/>
        <family val="2"/>
        <scheme val="minor"/>
      </rPr>
      <t xml:space="preserve">                                                                                </t>
    </r>
  </si>
  <si>
    <r>
      <t xml:space="preserve">Patrocínio
</t>
    </r>
    <r>
      <rPr>
        <b/>
        <sz val="12"/>
        <color rgb="FF006871"/>
        <rFont val="Calibri"/>
        <family val="2"/>
        <scheme val="minor"/>
      </rPr>
      <t>(máximo de 5% do total da RAL)</t>
    </r>
    <r>
      <rPr>
        <b/>
        <sz val="12"/>
        <color theme="4" tint="-0.249977111117893"/>
        <rFont val="Calibri"/>
        <family val="2"/>
        <scheme val="minor"/>
      </rPr>
      <t xml:space="preserve">   </t>
    </r>
    <r>
      <rPr>
        <b/>
        <sz val="12"/>
        <color indexed="10"/>
        <rFont val="Calibri"/>
        <family val="2"/>
        <scheme val="minor"/>
      </rPr>
      <t xml:space="preserve">      </t>
    </r>
    <r>
      <rPr>
        <b/>
        <sz val="12"/>
        <color indexed="8"/>
        <rFont val="Calibri"/>
        <family val="2"/>
        <scheme val="minor"/>
      </rPr>
      <t xml:space="preserve">                                                                            </t>
    </r>
  </si>
  <si>
    <r>
      <t xml:space="preserve">Objetivos Estratégicos Locais
</t>
    </r>
    <r>
      <rPr>
        <b/>
        <sz val="12"/>
        <color rgb="FF006871"/>
        <rFont val="Calibri"/>
        <family val="2"/>
        <scheme val="minor"/>
      </rPr>
      <t>(mínimo de 6 % do total da RAL)</t>
    </r>
    <r>
      <rPr>
        <b/>
        <sz val="12"/>
        <color theme="4" tint="-0.249977111117893"/>
        <rFont val="Calibri"/>
        <family val="2"/>
        <scheme val="minor"/>
      </rPr>
      <t xml:space="preserve"> </t>
    </r>
    <r>
      <rPr>
        <b/>
        <sz val="12"/>
        <color indexed="21"/>
        <rFont val="Calibri"/>
        <family val="2"/>
        <scheme val="minor"/>
      </rPr>
      <t xml:space="preserve">                        </t>
    </r>
  </si>
  <si>
    <r>
      <t xml:space="preserve">Assistência Técnica
</t>
    </r>
    <r>
      <rPr>
        <b/>
        <sz val="12"/>
        <color rgb="FF006871"/>
        <rFont val="Calibri"/>
        <family val="2"/>
        <scheme val="minor"/>
      </rPr>
      <t xml:space="preserve">(mínimo de 2% do total da RAL) </t>
    </r>
    <r>
      <rPr>
        <b/>
        <sz val="12"/>
        <color theme="1"/>
        <rFont val="Calibri"/>
        <family val="2"/>
        <scheme val="minor"/>
      </rPr>
      <t xml:space="preserve">   </t>
    </r>
  </si>
  <si>
    <r>
      <t xml:space="preserve">Reserva de Contingência
</t>
    </r>
    <r>
      <rPr>
        <b/>
        <sz val="12"/>
        <color rgb="FF006871"/>
        <rFont val="Calibri"/>
        <family val="2"/>
        <scheme val="minor"/>
      </rPr>
      <t xml:space="preserve">(até 2 % do total da RAL)   </t>
    </r>
    <r>
      <rPr>
        <b/>
        <sz val="12"/>
        <color indexed="21"/>
        <rFont val="Calibri"/>
        <family val="2"/>
        <scheme val="minor"/>
      </rPr>
      <t xml:space="preserve">           </t>
    </r>
  </si>
  <si>
    <t>TO</t>
  </si>
  <si>
    <t>SP</t>
  </si>
  <si>
    <t>SE</t>
  </si>
  <si>
    <t>SC</t>
  </si>
  <si>
    <t>RS</t>
  </si>
  <si>
    <t>RR</t>
  </si>
  <si>
    <t>RO</t>
  </si>
  <si>
    <t>RN</t>
  </si>
  <si>
    <t>RJ</t>
  </si>
  <si>
    <t>PR</t>
  </si>
  <si>
    <t>PI</t>
  </si>
  <si>
    <t>PB</t>
  </si>
  <si>
    <t>PA</t>
  </si>
  <si>
    <t>RRT - Quantidade</t>
  </si>
  <si>
    <t>MT</t>
  </si>
  <si>
    <t>PJ - Inadimplência</t>
  </si>
  <si>
    <t>MS</t>
  </si>
  <si>
    <t>PJ - Quantidade</t>
  </si>
  <si>
    <t>MG</t>
  </si>
  <si>
    <t>PF - Inadimplência</t>
  </si>
  <si>
    <t>1.1.3 Taxas e Multas</t>
  </si>
  <si>
    <t>MA</t>
  </si>
  <si>
    <t>GO</t>
  </si>
  <si>
    <t>Quantidades e Inadimplência</t>
  </si>
  <si>
    <t>ES</t>
  </si>
  <si>
    <t>DF</t>
  </si>
  <si>
    <t>Superávit Financeiro 2020</t>
  </si>
  <si>
    <t>CE</t>
  </si>
  <si>
    <t>Encontro de Contas</t>
  </si>
  <si>
    <t>BA</t>
  </si>
  <si>
    <t>Fundo de Apoio - Plenárias Ampliadas</t>
  </si>
  <si>
    <t>AP</t>
  </si>
  <si>
    <t>Fundo de Apoio - APORTE</t>
  </si>
  <si>
    <t>AM</t>
  </si>
  <si>
    <t>CSC - SISCAF</t>
  </si>
  <si>
    <t>AL</t>
  </si>
  <si>
    <t>CSC - Atendimento</t>
  </si>
  <si>
    <t>AC</t>
  </si>
  <si>
    <t>CSC - Fiscalização</t>
  </si>
  <si>
    <t>Quantitativo</t>
  </si>
  <si>
    <t>Inadimplência</t>
  </si>
  <si>
    <t>Taxas Bancárias
(Outras Receitas)</t>
  </si>
  <si>
    <t>Manutenção</t>
  </si>
  <si>
    <t>Atendimento</t>
  </si>
  <si>
    <t>Fiscalização</t>
  </si>
  <si>
    <t>Repasse do Fundo de Apoio</t>
  </si>
  <si>
    <t>Utilização com Plenárias Ampliadas</t>
  </si>
  <si>
    <t>Aporte ao
Fundo de Apoio</t>
  </si>
  <si>
    <t>Reprogramação</t>
  </si>
  <si>
    <t>Exercícios Anteriores</t>
  </si>
  <si>
    <t>Exercício</t>
  </si>
  <si>
    <t>Demais valores a checar</t>
  </si>
  <si>
    <t>Fontes de Receitas Correntes (80%)</t>
  </si>
  <si>
    <t>Superávit financiero
apurado em 2020</t>
  </si>
  <si>
    <t>RRT</t>
  </si>
  <si>
    <t>PJ</t>
  </si>
  <si>
    <t>PF</t>
  </si>
  <si>
    <t>Taxas</t>
  </si>
  <si>
    <t>Informações para os Indicadores</t>
  </si>
  <si>
    <t>Ressarcimento</t>
  </si>
  <si>
    <t>SISCAF</t>
  </si>
  <si>
    <t>CSC</t>
  </si>
  <si>
    <t>Fundo de Apoio</t>
  </si>
  <si>
    <t>UF</t>
  </si>
  <si>
    <t>Reprogramação 
2022</t>
  </si>
  <si>
    <t>Ativos</t>
  </si>
  <si>
    <t>Potencial Pagantes</t>
  </si>
  <si>
    <t>Pessoas e Infraestrutura</t>
  </si>
  <si>
    <t>Processos Internos</t>
  </si>
  <si>
    <t>Qde.</t>
  </si>
  <si>
    <t>Part. %</t>
  </si>
  <si>
    <t>Total Iniciativas</t>
  </si>
  <si>
    <t>Atividade</t>
  </si>
  <si>
    <t>Projeto</t>
  </si>
  <si>
    <t>Projetos/Objetivos Estratégicos</t>
  </si>
  <si>
    <t>Perspectivas</t>
  </si>
  <si>
    <t>Projeto Específico</t>
  </si>
  <si>
    <t>Objetivos Locais</t>
  </si>
  <si>
    <t>selecione abaixo</t>
  </si>
  <si>
    <t>PF - Ativos</t>
  </si>
  <si>
    <t>PF - Potencial Pagantes</t>
  </si>
  <si>
    <t>nº da coluna</t>
  </si>
  <si>
    <t>População estimada 2021</t>
  </si>
  <si>
    <t>Dados Geográficos</t>
  </si>
  <si>
    <t>População - 2021</t>
  </si>
  <si>
    <t>gerplan2022</t>
  </si>
  <si>
    <t xml:space="preserve">Part. %
 (E)           </t>
  </si>
  <si>
    <t>A - FONTES</t>
  </si>
  <si>
    <t>-</t>
  </si>
  <si>
    <t xml:space="preserve">CAU/UF:  </t>
  </si>
  <si>
    <t>Meta 2021 - Alcançada</t>
  </si>
  <si>
    <t>Meta Prevista
Reprogramação
2021</t>
  </si>
  <si>
    <t>Meta alcançada  2020</t>
  </si>
  <si>
    <t>Meta alcançada  2019</t>
  </si>
  <si>
    <t>Os resultados podem ser apresentados na forma de tabelas e gráficos dos principais indicadores, contendo as metas atingidas nos últimos exercícios, possibilitando a visualização de suas evoluções ao longo do tempo, além de metas para o próximo exercício.</t>
  </si>
  <si>
    <t>NOTA 1:</t>
  </si>
  <si>
    <t>P/A/PE
P./A./PE.</t>
  </si>
  <si>
    <t>Indicadores Institucionais e de Resultado (agrupados por objetivo estratégico) - Relatório de Gestão - Exercício 2021</t>
  </si>
  <si>
    <t>Execução</t>
  </si>
  <si>
    <t>%       
 (C=B/A)</t>
  </si>
  <si>
    <t>Execução
(%)</t>
  </si>
  <si>
    <t xml:space="preserve">NOTA 2: </t>
  </si>
  <si>
    <t>% 
(E=C/B *100)</t>
  </si>
  <si>
    <t>NOTA 3:</t>
  </si>
  <si>
    <t>3. Incluir as justificativas da inobservância dos limites não alcançados e a base dos valores das rescisões contratuais, auxílio alimentação, auxílio transporte, plano de saúde e demais benefícios.</t>
  </si>
  <si>
    <t>Índice de seguidores do CAU/BR nas Redes Sociais</t>
  </si>
  <si>
    <t>Quantidade de seguidores do CAU/BR nas Redes Sociais (Instagram, Facebook, Youtube, Twitter)</t>
  </si>
  <si>
    <t xml:space="preserve"> Índice de visualizações das publicações do CAU/BR das redes sociais</t>
  </si>
  <si>
    <t>Quantidade de visualizações das publicações do CAU/BR das redes sociais (Facebook + Stories FB, Instagram + Stories Instagram, Youtube e Twitter)</t>
  </si>
  <si>
    <t xml:space="preserve"> Acessos à página do CAU (Qtd.) - (CAU/BR)
</t>
  </si>
  <si>
    <t xml:space="preserve">Quantidade de acessos qualificados (visitantes únicos) a página do CAU (site) </t>
  </si>
  <si>
    <t>Índice dos acessos totais  das visualizações às páginas do CAU BR</t>
  </si>
  <si>
    <t>Quantidade totais  de páginas acessadas por todos os usuários</t>
  </si>
  <si>
    <t>Índice de publicações de matérias  pelo CAU/BR</t>
  </si>
  <si>
    <t>Quantidade  de reportagens e conteúdos publicados no site</t>
  </si>
  <si>
    <t xml:space="preserve">Quantidade  de visualizações dos clippings enviados </t>
  </si>
  <si>
    <t xml:space="preserve">Índice do alcance das edições dos clippings enviados </t>
  </si>
  <si>
    <t>Índice do alcance das campanhas por e-mail marketing</t>
  </si>
  <si>
    <t>Quantidade  de  visualizações de campanhas enviadas por e-mail marketing</t>
  </si>
  <si>
    <t xml:space="preserve">Índice de aproveitamento  de publicações dos releases do CAU  </t>
  </si>
  <si>
    <t>número releases publicados pela mídia</t>
  </si>
  <si>
    <t xml:space="preserve">número releases  distribuídos na mídia </t>
  </si>
  <si>
    <t xml:space="preserve">Índice do alcance das campanhas publicitárias </t>
  </si>
  <si>
    <t>Quantidade de Audiências totais das campanhas de publicidade do CAU/BR  ((Dia do Arquiteto, Arquitetos pela Ética, etc.) nos diversos meios de comunicação, como: TV Aberta, TV Fechada, Rádio,  Internet, Outdoor, Mobiliário Urbano)</t>
  </si>
  <si>
    <t>35 milhões</t>
  </si>
  <si>
    <t>2,2 milhões</t>
  </si>
  <si>
    <t>4 milhões</t>
  </si>
  <si>
    <r>
      <t xml:space="preserve">Orientações para preenchimento da </t>
    </r>
    <r>
      <rPr>
        <b/>
        <i/>
        <u/>
        <sz val="11"/>
        <color rgb="FFFF0000"/>
        <rFont val="Calibri"/>
        <family val="2"/>
        <scheme val="minor"/>
      </rPr>
      <t>planilha auxiliar</t>
    </r>
    <r>
      <rPr>
        <b/>
        <i/>
        <sz val="11"/>
        <color theme="1"/>
        <rFont val="Calibri"/>
        <family val="2"/>
        <scheme val="minor"/>
      </rPr>
      <t xml:space="preserve"> do Relatório de Gestão - Exercício 2022</t>
    </r>
  </si>
  <si>
    <r>
      <t xml:space="preserve">3) O valor do "Executado 2022": retirar do SISCONT. NET, no caminho "Centro de Custos&gt; Relatórios&gt; Demonstrativo de empenhos/pagamentos"; período de  01/01/2022 até 31/12/2022; na coluna EMPENHO, ou "Contabilidade&gt; Relatórios&gt; Balanço Orçamentário"; período de 01/01/2022 até 31/12/2022; na coluna </t>
    </r>
    <r>
      <rPr>
        <b/>
        <i/>
        <u/>
        <sz val="11"/>
        <color rgb="FFFF0000"/>
        <rFont val="Calibri"/>
        <family val="2"/>
        <scheme val="minor"/>
      </rPr>
      <t xml:space="preserve">DESPESAS   EMPENHADAS </t>
    </r>
    <r>
      <rPr>
        <b/>
        <i/>
        <sz val="11"/>
        <color theme="1"/>
        <rFont val="Calibri"/>
        <family val="2"/>
        <scheme val="minor"/>
      </rPr>
      <t>.</t>
    </r>
  </si>
  <si>
    <r>
      <t xml:space="preserve">4) O valor das "Receitas realizadas 2022": retirar do SISCONT. NET, no caminho:  "Contabilidade&gt; Relatórios&gt; Balanço Orçamentário"; período de 01/01/2022 até 31/12/2022; na coluna </t>
    </r>
    <r>
      <rPr>
        <b/>
        <i/>
        <u/>
        <sz val="11"/>
        <color rgb="FFFF0000"/>
        <rFont val="Calibri"/>
        <family val="2"/>
        <scheme val="minor"/>
      </rPr>
      <t>RECEITAS REALIZADAS.</t>
    </r>
  </si>
  <si>
    <r>
      <t>1) O valor da "Reprogramação 2022": usar o último valor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i/>
        <u/>
        <sz val="11"/>
        <color rgb="FFFF0000"/>
        <rFont val="Calibri"/>
        <family val="2"/>
        <scheme val="minor"/>
      </rPr>
      <t>APROVADO</t>
    </r>
    <r>
      <rPr>
        <b/>
        <i/>
        <sz val="11"/>
        <color theme="1"/>
        <rFont val="Calibri"/>
        <family val="2"/>
        <scheme val="minor"/>
      </rPr>
      <t xml:space="preserve"> no parecer do Plano de Ação do Exercício de 2022, sem transposição.</t>
    </r>
  </si>
  <si>
    <t>2) O valor do "Reprogramação  com Transposição (Orçado) 2022": retirar do SISCONT. NET, no caminho "Centro de Custos&gt; Relatórios&gt; Demonstrativo de empenhos/pagamentos"; período de  01/01/2022 até 31/12/2022; na coluna ORÇADO.</t>
  </si>
  <si>
    <r>
      <t xml:space="preserve">5) Usar o </t>
    </r>
    <r>
      <rPr>
        <b/>
        <i/>
        <u/>
        <sz val="11"/>
        <color rgb="FFFF0000"/>
        <rFont val="Calibri"/>
        <family val="2"/>
        <scheme val="minor"/>
      </rPr>
      <t>último</t>
    </r>
    <r>
      <rPr>
        <b/>
        <i/>
        <sz val="11"/>
        <color theme="1"/>
        <rFont val="Calibri"/>
        <family val="2"/>
        <scheme val="minor"/>
      </rPr>
      <t xml:space="preserve"> Parecer ou  Plano de ação da Reprogamação 2022 homologado pelo Plenário do CAU/BR e enviado pela GERPLAN  em  2022.</t>
    </r>
  </si>
  <si>
    <t>Quadro Geral - Relatório de Gestão - Exercício 2022</t>
  </si>
  <si>
    <t>Reprogramação                    2022                                     (A)</t>
  </si>
  <si>
    <t>Reprogramação   com transposição                 2022                                     (B)</t>
  </si>
  <si>
    <t>Executado                        2022                             (C)</t>
  </si>
  <si>
    <t>Demonstrativo das Fontes - Relatório de Gestão - Exercício 2022</t>
  </si>
  <si>
    <t>Reprogramação 
2022
 (A)</t>
  </si>
  <si>
    <t>Receitas Realizadas                    2022                              (B)</t>
  </si>
  <si>
    <t>O valor das "Receitas realizadas 2022": retirar do SISCONT. NET, no caminho:  "Contabilidade&gt; Relatórios&gt; Balanço Orçamentário"; período de 01/01/2022 até 31/12/2022; na coluna RECEITAS REALIZADAS.
SUGESTÃO: Baixar o arquivo do Siscont.NET em "EXCEL" e incluir como uma nova aba nesta planilha Auxiliar.</t>
  </si>
  <si>
    <t xml:space="preserve"> Limites de Aplicação dos Recursos Estratégicos - Relatório de Gestão - Exercício 2022</t>
  </si>
  <si>
    <t>Reprogramação
 2022</t>
  </si>
  <si>
    <t>Executado
2022</t>
  </si>
  <si>
    <t>1. O valor do "Executado 2022-DESPESAS": retirar do SISCONT. NET, no caminho "Centro de Custos&gt; Relatórios&gt; Demonstrativo de empenhos/pagamentos"; período de  01/01/2022 até 31/12/2022; na coluna EMPENHO, ou "Contabilidade&gt; Relatórios&gt; Balanço Orçamentário"; período de 01/01/2022 até 31/12/2022; na coluna DESPESAS   EMPENHADAS .</t>
  </si>
  <si>
    <t>2. O valor das "Executado 2022-RECEITAS": retirar do SISCONT. NET, no caminho:  "Contabilidade&gt; Relatórios&gt; Balanço Orçamentário"; período de 01/01/2022 até 31/12/2022; na coluna RECEITAS REALIZADAS.</t>
  </si>
  <si>
    <t xml:space="preserve">Justificar quando  abaixo do limite </t>
  </si>
  <si>
    <t>Justificar  o não alcance dos  limites estabelecidos</t>
  </si>
  <si>
    <r>
      <t xml:space="preserve"> Despesas com Pessoal
</t>
    </r>
    <r>
      <rPr>
        <b/>
        <sz val="12"/>
        <color rgb="FF006871"/>
        <rFont val="Calibri"/>
        <family val="2"/>
        <scheme val="minor"/>
      </rPr>
      <t xml:space="preserve">(máximo de </t>
    </r>
    <r>
      <rPr>
        <b/>
        <sz val="12"/>
        <color rgb="FFFF0000"/>
        <rFont val="Calibri"/>
        <family val="2"/>
        <scheme val="minor"/>
      </rPr>
      <t>60% sobre as Receitas Correntes)</t>
    </r>
  </si>
  <si>
    <r>
      <t xml:space="preserve">O valor do "Executado 2022": retirar do SISCONT. NET, no caminho "Centro de Custos&gt; Relatórios&gt; Demonstrativo de empenhos/pagamentos"; período de  01/01/2022 até 31/12/2022; </t>
    </r>
    <r>
      <rPr>
        <b/>
        <u/>
        <sz val="14"/>
        <color rgb="FFFF0000"/>
        <rFont val="Calibri"/>
        <family val="2"/>
        <scheme val="minor"/>
      </rPr>
      <t>na coluna EMPENHO.</t>
    </r>
    <r>
      <rPr>
        <sz val="14"/>
        <color theme="1"/>
        <rFont val="Calibri"/>
        <family val="2"/>
        <scheme val="minor"/>
      </rPr>
      <t xml:space="preserve">
SUGESTÃO: Baixar o arquivo do Siscont.NET em EXCEL e incluir como uma nova aba nesta planila Auxiliar.</t>
    </r>
  </si>
  <si>
    <t>N.A</t>
  </si>
  <si>
    <r>
      <rPr>
        <b/>
        <sz val="16"/>
        <color theme="1"/>
        <rFont val="Calibri"/>
        <family val="2"/>
        <scheme val="minor"/>
      </rPr>
      <t>OBS 1: Deverá justificar no caso de</t>
    </r>
    <r>
      <rPr>
        <b/>
        <u/>
        <sz val="20"/>
        <color rgb="FFFF0000"/>
        <rFont val="Calibri"/>
        <family val="2"/>
        <scheme val="minor"/>
      </rPr>
      <t xml:space="preserve"> inobservância</t>
    </r>
    <r>
      <rPr>
        <b/>
        <sz val="16"/>
        <color theme="1"/>
        <rFont val="Calibri"/>
        <family val="2"/>
        <scheme val="minor"/>
      </rPr>
      <t xml:space="preserve"> de aplicação dos percentuais:</t>
    </r>
    <r>
      <rPr>
        <b/>
        <sz val="12"/>
        <color theme="1"/>
        <rFont val="Calibri"/>
        <family val="2"/>
        <scheme val="minor"/>
      </rPr>
      <t xml:space="preserve">
Atendimento - mínimo de 10% da RAL
Fiscalização – mínimo de 15% da RAL
Despesa com pessoal – até 55% das receitas correntes
Comunicação - mínimo de 3% da RAL
Objetivos Locais - mínimo de 6% da RAL
Patrocínios - máximo de 5% da RAL
ATHIS - mínimo de 2% da RAL
*N.A - Não se aplica</t>
    </r>
  </si>
  <si>
    <t xml:space="preserve"> </t>
  </si>
  <si>
    <t>Fiscalização CAU/SE</t>
  </si>
  <si>
    <t>Gestão Administrativa e Financeira</t>
  </si>
  <si>
    <t>Comunicação CAU/SE</t>
  </si>
  <si>
    <t>Atendimento e Relações Profissionais</t>
  </si>
  <si>
    <t>Manutenção da Presidência</t>
  </si>
  <si>
    <t>Serviços Compartilhados para a Fiscalização - CSC</t>
  </si>
  <si>
    <t>Serviços Compartilhados para o Atendimento - CSC</t>
  </si>
  <si>
    <t>Centro de Serviços Compartilhados - SISCAF</t>
  </si>
  <si>
    <t>Aporte Fundo de Apoio</t>
  </si>
  <si>
    <t>Reuniões Plenárias Ampliadas</t>
  </si>
  <si>
    <t>Comissões Permanentes</t>
  </si>
  <si>
    <t xml:space="preserve">Patrocínio de Ações e Interinstitucionais </t>
  </si>
  <si>
    <t>Reserva de Contingência</t>
  </si>
  <si>
    <t>Capacitação e Desenvolvimento Humano</t>
  </si>
  <si>
    <t>Projeto ATHIS Sergipe</t>
  </si>
  <si>
    <t xml:space="preserve"> ATHIS: Ensinando com Prática</t>
  </si>
  <si>
    <t>Nova Sede</t>
  </si>
  <si>
    <t>Bens Móveis e Imóveis</t>
  </si>
  <si>
    <t xml:space="preserve">Diretora Administrativa e Financeira </t>
  </si>
  <si>
    <t xml:space="preserve">Presidência </t>
  </si>
  <si>
    <t>Orientação:  Na proposta da Programação 2022, para as receitas  de Arrecadação - anuidades de PF e PJ  (do exercício 2022 e dos exercícios anteriores), RRT, taxas e multas, devem ser considerados os valores constantes das Diretrizes da Programação 2022. 
Caso o CAU/UF apresente projeções de receitas divergentes das aprovadas nas Direrizes da Programação 2022, é necessário justificar a alteração e nos informar qual a nova posição do CAU/UF em relação às quantidades e inadimplências aplicadas às projeções de 2022 (PF; PJ; RRT; Taxas e Multas). Para tanto, deve-se utilizar a Minuta das Diretrizes da Programação 2022 e encaminhá-la à GERPLAN.
As receitas de exercícios anteriores devem ser projetadas no mínimo de 10% do valor total a ser arrecadado por cada CAU/UF.  As células sinalizadas, em cinza, são fórmulas e não devem ser modificadas. Verificar os comentários colocando o cursor na célula correspondente, no cabeçalho.</t>
  </si>
  <si>
    <t>Anexo 1 - Demonstrativo de Fontes e Aplicações - Reprogramação 2022</t>
  </si>
  <si>
    <t>Programação 2022
 (A)</t>
  </si>
  <si>
    <t>Reprogramação 2022</t>
  </si>
  <si>
    <t xml:space="preserve">Variação (2022/2022) </t>
  </si>
  <si>
    <t xml:space="preserve">Part. %
 (G)           </t>
  </si>
  <si>
    <t>Execução 
Jan/Maio (B)</t>
  </si>
  <si>
    <t>Projetado
Jun/Dez  (C)</t>
  </si>
  <si>
    <t>Proposta 
Reprogramação
 2022 (D=B+C)</t>
  </si>
  <si>
    <t>Valores
 (E=D-A)</t>
  </si>
  <si>
    <t>%       
 (F=E/A)</t>
  </si>
  <si>
    <t>A. FONTES</t>
  </si>
  <si>
    <t xml:space="preserve">1ª análise do CAUBR - Em conformidade </t>
  </si>
  <si>
    <t>B. APLICAÇÕES</t>
  </si>
  <si>
    <t>1. Programação Operacional</t>
  </si>
  <si>
    <t>1.1 Projetos</t>
  </si>
  <si>
    <t>1.2 Projetos Específicos</t>
  </si>
  <si>
    <t>1.3 Atividades</t>
  </si>
  <si>
    <t>2. Aportes ao Fundo de Apoio</t>
  </si>
  <si>
    <t xml:space="preserve">3. Aporte ao CSC </t>
  </si>
  <si>
    <t>4. Reserva de Contingência</t>
  </si>
  <si>
    <t>II – TOTAL</t>
  </si>
  <si>
    <t>VARIAÇÃO (I-II)</t>
  </si>
  <si>
    <t>RESUMO DA REPROGRAMAÇÃO 2022 - POR CATEGORIA ECONÔMICA</t>
  </si>
  <si>
    <t xml:space="preserve">CATEGORIA ECONÔMICA </t>
  </si>
  <si>
    <t>FONTES (R$)</t>
  </si>
  <si>
    <t>APLICAÇÃO (R$)</t>
  </si>
  <si>
    <t>Programação 
2022 
(B)</t>
  </si>
  <si>
    <t>Reprogramação 
2022 
(B)</t>
  </si>
  <si>
    <t>Variação
% (C=B/A)</t>
  </si>
  <si>
    <t>Programação 
2022
(D)</t>
  </si>
  <si>
    <t>Reprogramação 
2022 
(E)</t>
  </si>
  <si>
    <t>Variação % 
(F=E/D)</t>
  </si>
  <si>
    <t>Corrente</t>
  </si>
  <si>
    <t xml:space="preserve">Capital </t>
  </si>
  <si>
    <t>Total</t>
  </si>
  <si>
    <t>Correntes
(R$)</t>
  </si>
  <si>
    <t>Capital
(R$)</t>
  </si>
  <si>
    <t>Total
(R$)</t>
  </si>
  <si>
    <t>I - Receitas</t>
  </si>
  <si>
    <t>II - Despesas</t>
  </si>
  <si>
    <t>Superávit Financeiro para Projetos Específicos</t>
  </si>
  <si>
    <t>Informações</t>
  </si>
  <si>
    <t>I - Superávit financeiro acumulado em 2021</t>
  </si>
  <si>
    <t>II - Despesas de capital</t>
  </si>
  <si>
    <t>III - Projetos específicos</t>
  </si>
  <si>
    <t>A. Saldo IV = (I-II-III)</t>
  </si>
  <si>
    <t>III a - Percentual de utilização para capital</t>
  </si>
  <si>
    <t>III b - Percentual de utilização para PE</t>
  </si>
  <si>
    <t>Deliberação que aprova PE</t>
  </si>
  <si>
    <t>Os valores do  ressarcimeno das tarifas e encontro de contas estão inclusos no item das outras receitas correntes p. 66 e 61)</t>
  </si>
  <si>
    <t>CAU - SE</t>
  </si>
  <si>
    <t>Conselho de Arquitetura e Urbanismo do Estado de Sergipe</t>
  </si>
  <si>
    <t>CNPJ: 14.817.219/0001-92</t>
  </si>
  <si>
    <t>Período: 01/01/2022 a 31/12/2022</t>
  </si>
  <si>
    <t>Balanço Orçamentário</t>
  </si>
  <si>
    <t>RECEITAS ORÇAMENTÁRIAS</t>
  </si>
  <si>
    <t>PREVISÃO INICIAL</t>
  </si>
  <si>
    <t>PREVISÃO ATUALIZADA</t>
  </si>
  <si>
    <t>RECEITAS REALIZADAS</t>
  </si>
  <si>
    <t>SALDO</t>
  </si>
  <si>
    <t xml:space="preserve">RECEITA CORRENTE </t>
  </si>
  <si>
    <t>RECEITAS DE CONTRIBUICOES</t>
  </si>
  <si>
    <t>RECEITA DE CONTRIBUIÇÕES</t>
  </si>
  <si>
    <t>ANUIDADES</t>
  </si>
  <si>
    <t>RECEITA DE SERVIÇOS</t>
  </si>
  <si>
    <t xml:space="preserve">EMOLUMENTOS COM EXPEDIÇÕES DE CERTIDÕES </t>
  </si>
  <si>
    <t xml:space="preserve">EMOLUMENTOS COM REGISTRO DE RESPONSABILIDADE TÉCNICA - RRT </t>
  </si>
  <si>
    <t xml:space="preserve">FINANCEIRAS </t>
  </si>
  <si>
    <t xml:space="preserve">JUROS DE MORA SOBRE ANUIDADES </t>
  </si>
  <si>
    <t xml:space="preserve">ATUALIZAÇÃO MONETÁRIA </t>
  </si>
  <si>
    <t xml:space="preserve">ATUALIZAÇÃO MONETÁRIA SOBRE ANUIDADES </t>
  </si>
  <si>
    <t xml:space="preserve">MULTAS SOBRE ANUIDADES </t>
  </si>
  <si>
    <t xml:space="preserve">REMUNERAÇÃO DE DEP. BANC. E APLICAÇÕES FINANCEIRAS </t>
  </si>
  <si>
    <t>TRANSFERENCIAS CORRENTES</t>
  </si>
  <si>
    <t>OUTRAS RECEITAS CORRENTES</t>
  </si>
  <si>
    <t xml:space="preserve">MULTAS DE INFRAÇÕES </t>
  </si>
  <si>
    <t xml:space="preserve">INDENIZAÇÕES E RESTITUIÇÕES </t>
  </si>
  <si>
    <t>RECEITA DE CAPITAL</t>
  </si>
  <si>
    <t>OUTRAS RECEITAS DE CAPITAL</t>
  </si>
  <si>
    <t>SUPERÁVIT DO EXERCÍCIO CORRENTE</t>
  </si>
  <si>
    <t>RECURSOS ARRECADADOS EM EXERCÍCIOS ANTERIORES</t>
  </si>
  <si>
    <t>SUB-TOTAL DAS RECEITAS</t>
  </si>
  <si>
    <t>DÉFICIT</t>
  </si>
  <si>
    <t>DESPESAS   ORÇAMENTÁRIAS</t>
  </si>
  <si>
    <t>DOTAÇÃO   INICIAL</t>
  </si>
  <si>
    <t>DOTAÇÃO   ATUALIZADA</t>
  </si>
  <si>
    <t>DESPESAS   EMPENHADAS</t>
  </si>
  <si>
    <t>DESPESAS  LIQUIDADAS</t>
  </si>
  <si>
    <t>DESPESAS    PAGAS</t>
  </si>
  <si>
    <t>SALDO     DOTAÇÃO</t>
  </si>
  <si>
    <t>DESPESA CORRENTE</t>
  </si>
  <si>
    <t>PESSOAL</t>
  </si>
  <si>
    <t>PESSOAL E ENCARGOS</t>
  </si>
  <si>
    <t>DIÁRIAS</t>
  </si>
  <si>
    <t>MATERIAL DE CONSUMO</t>
  </si>
  <si>
    <t>SERVIÇOS DE TERCEIROS - PESSOA FÍSICA</t>
  </si>
  <si>
    <t>REMUNERAÇÃO DE SERVIÇOS PESSOAIS</t>
  </si>
  <si>
    <t>SERVIÇOS DE TERCEIROS - PESSOA JURÍDICA</t>
  </si>
  <si>
    <t>SERVIÇOS DE CONSULTORIA</t>
  </si>
  <si>
    <t>SERVIÇOS DE COMUNICAÇÃO E DIVULGAÇÃO</t>
  </si>
  <si>
    <t>SERVIÇOS PRESTADOS</t>
  </si>
  <si>
    <t>PASSAGENS</t>
  </si>
  <si>
    <t>ENCARGOS DIVERSOS</t>
  </si>
  <si>
    <t>TRANSFERÊNCIAS CORRENTES</t>
  </si>
  <si>
    <t>FUNDO DE APOIO AO CAU-UF</t>
  </si>
  <si>
    <t>CONVÊNIOS, CONTRATOS E PATROCÍNIO</t>
  </si>
  <si>
    <t>CRÉDITO DISPONÍVEL DESPESA DE CAPITAL</t>
  </si>
  <si>
    <t>INVESTIMENTOS</t>
  </si>
  <si>
    <t xml:space="preserve">EQUIPAMENTOS E MATERIAIS PERMANENTES </t>
  </si>
  <si>
    <t xml:space="preserve">AQUISIÇÃO DE IMÓVEIS </t>
  </si>
  <si>
    <t>SUB-TOTAL DAS DESPESAS</t>
  </si>
  <si>
    <t>SUPERÁVIT</t>
  </si>
  <si>
    <t>Página:1/1</t>
  </si>
  <si>
    <t>Evite imprimir. Colabore com o meio ambiente.</t>
  </si>
  <si>
    <t>Comparativo da Receita</t>
  </si>
  <si>
    <t>Receita</t>
  </si>
  <si>
    <t>Orçado</t>
  </si>
  <si>
    <t>Arrec. Periodo</t>
  </si>
  <si>
    <t>Arrec. Exerc.</t>
  </si>
  <si>
    <t>Diferença</t>
  </si>
  <si>
    <t>RECEITA REALIZADA</t>
  </si>
  <si>
    <t xml:space="preserve">Pessoa Física - do Exercício </t>
  </si>
  <si>
    <t xml:space="preserve">Pessoa Física - do Exercício Anterior  </t>
  </si>
  <si>
    <t>Pessoa Jurídica - do Exercicio</t>
  </si>
  <si>
    <t>Pessoa Jurídica - do Exercício Anterior</t>
  </si>
  <si>
    <t>Pessoa Física</t>
  </si>
  <si>
    <t>EMOLUMENTOS COM REGISTRO DE RESPONSABILIDADE TÉCNICA - RRT</t>
  </si>
  <si>
    <t xml:space="preserve">Pessoa Jurídica - RRT </t>
  </si>
  <si>
    <t>Pessoa Física - RRT</t>
  </si>
  <si>
    <t>Pessoas Físicas</t>
  </si>
  <si>
    <t>Pessoas Jurídicas</t>
  </si>
  <si>
    <t>CDB/RDB - Titulos de Renda Fixa</t>
  </si>
  <si>
    <t>Transferencias Intragovernamentais</t>
  </si>
  <si>
    <t xml:space="preserve">Indenizações </t>
  </si>
  <si>
    <t xml:space="preserve">Restituições </t>
  </si>
  <si>
    <t>SALDO DE EXERCÍCIOS ANTERIORES (Superávit do Orçamento Corrente)</t>
  </si>
  <si>
    <t>Total:</t>
  </si>
  <si>
    <t>Execução do Orçamento por Centro de Custos - (Fase: Liquidada)</t>
  </si>
  <si>
    <t>Centro de Custo</t>
  </si>
  <si>
    <t>Orçamento</t>
  </si>
  <si>
    <t>%</t>
  </si>
  <si>
    <t>Realizado</t>
  </si>
  <si>
    <t>Saldo</t>
  </si>
  <si>
    <t>Totais:</t>
  </si>
  <si>
    <t>1.01.01 - ATIVIDADE - Manutenção da Presidência Cau/Se</t>
  </si>
  <si>
    <t>1.01.02 - ATIVIDADE - Reuniões Plenárias</t>
  </si>
  <si>
    <t>1.01.03 - ATIVIDADE - Comunicação Cau/Se</t>
  </si>
  <si>
    <t>1.01.04 -  ATIVIDADE - Comissões Permanentes</t>
  </si>
  <si>
    <t>1.01.05 - ATIVIDADE - Reserva de Contingência</t>
  </si>
  <si>
    <t>1.01.06 - ATIVIDADE - Patrocínio de Ações Interinstitucionais</t>
  </si>
  <si>
    <t>1.01.07 - PROJETO - Capacitação e Desenvolvimento Humano</t>
  </si>
  <si>
    <t>1.01.10 - PROJETO Athis Sergipe</t>
  </si>
  <si>
    <t>1.01.15 - ATIVIDADE ATHIS - ensino na prática</t>
  </si>
  <si>
    <t>1.01.16 - Acordo de cooperação CAU/SE X MPF - Acessibilidade em Igrejas tombadas do Estado</t>
  </si>
  <si>
    <t>1.01.17 - PROJETO - Nova sede</t>
  </si>
  <si>
    <t>1.02.01 - ATIVIDADE - Gestão Administrativa e Financeira Cau/Se</t>
  </si>
  <si>
    <t>1.02.02 - ATIVIDADE - Aporte Fundo de Apoio</t>
  </si>
  <si>
    <t>1.02.03 - ATIVIDADE - Centro de Serviços Compartilhados - CSC - SISCAF</t>
  </si>
  <si>
    <t>1.02.04 - PROJETO  - bens moveis e imóveis</t>
  </si>
  <si>
    <t>1.03.01 - ATIVIDADE - Fiscalização Cau/Se</t>
  </si>
  <si>
    <t>1.03.02 - ATIVIDADE - Atendimento e Relações Profissionais</t>
  </si>
  <si>
    <t>1.03.03 - ATIVIDADE - Serviços Compartilhados para Fiscalização - CSC</t>
  </si>
  <si>
    <t>1.03.04 - ATIVIDADE - Serviços Compartilhados de Atendimento - CSC</t>
  </si>
  <si>
    <t>Tendo em vista o aumento na execução das "Receitas de Arrecadação", o percentual foi impactado. Note-se que foi executado 99,8% do orçamento previsto, não havendo a possibilidade de uma maior execução sem que houvesse uma outra reprogramação para além da que foi feita no segundo semestre, o que demandaria um esforço que não se justificaria para o atingimento de mais 0,2% do limite estratégico. Tal situação poderá subsidiar uma futura adequação na aplicação destes limites por parte do CAU/BR.</t>
  </si>
  <si>
    <t>REMUNERAÇÃO PESSOAL</t>
  </si>
  <si>
    <t>Salários</t>
  </si>
  <si>
    <t>Gratificação de Função</t>
  </si>
  <si>
    <t>Gratificação de Natal - 13º Salário</t>
  </si>
  <si>
    <t>1/3 de Férias - CF/88</t>
  </si>
  <si>
    <t>ENCARGOS SOCIAIS</t>
  </si>
  <si>
    <t>INSS Patronal</t>
  </si>
  <si>
    <t>FGTS</t>
  </si>
  <si>
    <t xml:space="preserve">PIS s/ Folha de Pagamento </t>
  </si>
  <si>
    <t>BENEFÍCIOS A PESSOAL</t>
  </si>
  <si>
    <t>Vale Transporte</t>
  </si>
  <si>
    <t>Programa de Alimentação ao Trabalhador - PAT</t>
  </si>
  <si>
    <t>Funcionários</t>
  </si>
  <si>
    <t>Material de Expediente</t>
  </si>
  <si>
    <t>Material de Áudio, Vídeo e Foto</t>
  </si>
  <si>
    <t>Outros Materiais de Consumo</t>
  </si>
  <si>
    <t>Remuneração de Serviços Pessoais</t>
  </si>
  <si>
    <t>Remuneração de Estagiários</t>
  </si>
  <si>
    <t>Conselheiros/Convidados</t>
  </si>
  <si>
    <t>Consultoria Jurídica</t>
  </si>
  <si>
    <t>Outras Consultorias</t>
  </si>
  <si>
    <t xml:space="preserve">Divulgação em Jornais e Revistas </t>
  </si>
  <si>
    <t>Outros Serviços de Comunicação e Divulgação</t>
  </si>
  <si>
    <t>Serviços de Medicina do Trabalho</t>
  </si>
  <si>
    <t>Serviços de Seleção, Trein. e Orient. Profissional</t>
  </si>
  <si>
    <t>Serviços de Intermediação de Estágios</t>
  </si>
  <si>
    <t xml:space="preserve">Remuneração de Estagiários </t>
  </si>
  <si>
    <t>Serviços de Apoio Administrativo e Operacional</t>
  </si>
  <si>
    <t xml:space="preserve">Seguros de Bens Imóveis </t>
  </si>
  <si>
    <t xml:space="preserve">Locação de Bens Imóveis </t>
  </si>
  <si>
    <t>Serviços de Reparos, Adapt. e Conserv de Bens Móveis e Imóveis</t>
  </si>
  <si>
    <t>Serviços de Energia Elétrica e Gás</t>
  </si>
  <si>
    <t>Serviços de Água e Esgoto</t>
  </si>
  <si>
    <t>Serviços de Correios e Telégrafos</t>
  </si>
  <si>
    <t>Assinaturas e Periódicos</t>
  </si>
  <si>
    <t>Serviços Gráficos</t>
  </si>
  <si>
    <t>Despesas com Telecomunicações</t>
  </si>
  <si>
    <t>Serviços de Transporte</t>
  </si>
  <si>
    <t>Serviços de Segurança Predial e Preventiva</t>
  </si>
  <si>
    <t>Despesas Miúdas de Pronto Pagamento</t>
  </si>
  <si>
    <t>Outras Despesas</t>
  </si>
  <si>
    <t>Despesas Judiciais</t>
  </si>
  <si>
    <t>Impostos e Taxas</t>
  </si>
  <si>
    <t>Taxas Bancárias</t>
  </si>
  <si>
    <t>Fundo Nacional de Apoio aos CAU UF</t>
  </si>
  <si>
    <t>Centro de Serviços Compartilhados - CSC</t>
  </si>
  <si>
    <t xml:space="preserve">Máquinas e Equipamentos </t>
  </si>
  <si>
    <t xml:space="preserve">Edifícios </t>
  </si>
  <si>
    <t xml:space="preserve">O projeto ainda encontra-se em execução, de modo que, os valores referentes ao pagamento das etapas a serem realizadas foram lançados em "restos a pagar", motivo pelo qual os mesmos não constam do "executado". Não obstante, a exemplo do grupo de Comunicação, o aumento nas "Receitas de Arrecadação" redundou em um aumento no montante referente aos 2% de limite estratégico aplicado. Observe-se que o valor executado (27.250,00) é maior do que o previsto (26.796,11) para o centro de custo "ATHIS Sergipe", que foi suportado, apenas, por receitas correntes, sendo totalmente executado, inclusive.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</si>
</sst>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_-* #,##0_-;\-* #,##0_-;_-* &quot;-&quot;??_-;_-@_-"/>
    <numFmt numFmtId="168" formatCode="_(* #,##0_);_(* \(#,##0\);_(* &quot;-&quot;??_);_(@_)"/>
    <numFmt numFmtId="169" formatCode="_(* #,##0.0_);_(* \(#,##0.0\);_(* &quot;-&quot;??_);_(@_)"/>
    <numFmt numFmtId="170" formatCode="&quot;R$&quot;#,##0.00"/>
    <numFmt numFmtId="171" formatCode="_-&quot;R$&quot;\ * #,##0_-;\-&quot;R$&quot;\ * #,##0_-;_-&quot;R$&quot;\ * &quot;-&quot;??_-;_-@_-"/>
    <numFmt numFmtId="172" formatCode="#,##0.0_ ;\-#,##0.0\ "/>
    <numFmt numFmtId="173" formatCode="_-* #,##0.00_-;\-* #,##0.00_-;_-* &quot;-&quot;_-;_-@_-"/>
    <numFmt numFmtId="174" formatCode="_-* #,##0.0_-;\-* #,##0.0_-;_-* &quot;-&quot;?_-;_-@_-"/>
  </numFmts>
  <fonts count="8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b/>
      <sz val="13"/>
      <color indexed="81"/>
      <name val="Tahoma"/>
      <family val="2"/>
    </font>
    <font>
      <b/>
      <sz val="11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indexed="81"/>
      <name val="Tahoma"/>
      <family val="2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4"/>
      <color indexed="81"/>
      <name val="Calibri Light"/>
      <family val="2"/>
      <scheme val="major"/>
    </font>
    <font>
      <sz val="8"/>
      <name val="Calibri"/>
      <family val="2"/>
      <scheme val="minor"/>
    </font>
    <font>
      <b/>
      <sz val="16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6871"/>
      <name val="Calibri"/>
      <family val="2"/>
      <scheme val="minor"/>
    </font>
    <font>
      <b/>
      <sz val="12"/>
      <color rgb="FF00999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indexed="57"/>
      <name val="Calibri"/>
      <family val="2"/>
      <scheme val="minor"/>
    </font>
    <font>
      <b/>
      <sz val="12"/>
      <color indexed="21"/>
      <name val="Calibri"/>
      <family val="2"/>
      <scheme val="minor"/>
    </font>
    <font>
      <sz val="12"/>
      <color indexed="81"/>
      <name val="Segoe UI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Arial"/>
      <family val="2"/>
    </font>
    <font>
      <sz val="12"/>
      <color rgb="FFFF0000"/>
      <name val="Arial"/>
      <family val="2"/>
    </font>
    <font>
      <b/>
      <strike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6"/>
      <color rgb="FF212121"/>
      <name val="OpenSansCondensedLight"/>
    </font>
    <font>
      <sz val="11"/>
      <color rgb="FF727272"/>
      <name val="OpenSansCondensedBold"/>
    </font>
    <font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indexed="81"/>
      <name val="Calibri"/>
      <family val="2"/>
      <scheme val="minor"/>
    </font>
    <font>
      <b/>
      <sz val="11"/>
      <color indexed="81"/>
      <name val="Segoe UI"/>
      <family val="2"/>
    </font>
    <font>
      <b/>
      <sz val="12"/>
      <color indexed="81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000000"/>
      <name val="Calibri"/>
      <family val="2"/>
      <scheme val="minor"/>
    </font>
    <font>
      <b/>
      <sz val="12"/>
      <color indexed="81"/>
      <name val="Segoe UI"/>
      <family val="2"/>
    </font>
    <font>
      <sz val="18"/>
      <color rgb="FF434343"/>
      <name val="Tahoma"/>
      <family val="2"/>
    </font>
    <font>
      <sz val="12"/>
      <color rgb="FF434343"/>
      <name val="Tahoma"/>
      <family val="2"/>
    </font>
    <font>
      <sz val="9"/>
      <color rgb="FF000000"/>
      <name val="Tahoma"/>
      <family val="2"/>
    </font>
    <font>
      <sz val="14"/>
      <color rgb="FF434343"/>
      <name val="Tahoma"/>
      <family val="2"/>
    </font>
    <font>
      <sz val="11"/>
      <color rgb="FF434343"/>
      <name val="Tahoma"/>
      <family val="2"/>
    </font>
    <font>
      <b/>
      <sz val="9"/>
      <color rgb="FFFFFFFF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434343"/>
      <name val="Tahoma"/>
      <family val="2"/>
    </font>
    <font>
      <b/>
      <sz val="9"/>
      <color rgb="FF000000"/>
      <name val="Tahoma"/>
      <family val="2"/>
    </font>
    <font>
      <b/>
      <sz val="6"/>
      <color rgb="FF434343"/>
      <name val="Tahoma"/>
      <family val="2"/>
    </font>
    <font>
      <sz val="15"/>
      <color rgb="FF434343"/>
      <name val="Tahoma"/>
      <family val="2"/>
    </font>
    <font>
      <sz val="18"/>
      <color rgb="FF434343"/>
      <name val="Tahoma"/>
      <family val="2"/>
    </font>
    <font>
      <sz val="12"/>
      <color rgb="FF434343"/>
      <name val="Tahoma"/>
      <family val="2"/>
    </font>
    <font>
      <sz val="9"/>
      <color rgb="FF000000"/>
      <name val="Times New Roman"/>
      <family val="1"/>
    </font>
    <font>
      <b/>
      <sz val="6"/>
      <color rgb="FF434343"/>
      <name val="Tahoma"/>
      <family val="2"/>
    </font>
    <font>
      <sz val="15"/>
      <color rgb="FF434343"/>
      <name val="Tahoma"/>
      <family val="2"/>
    </font>
    <font>
      <b/>
      <sz val="9"/>
      <color rgb="FFFFFFFF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sz val="9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rgb="FFFFFAD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4BAC3"/>
        <bgColor indexed="64"/>
      </patternFill>
    </fill>
    <fill>
      <patternFill patternType="solid">
        <fgColor rgb="FF528693"/>
        <bgColor indexed="64"/>
      </patternFill>
    </fill>
    <fill>
      <patternFill patternType="solid">
        <fgColor rgb="FF2A5664"/>
        <bgColor indexed="64"/>
      </patternFill>
    </fill>
    <fill>
      <patternFill patternType="solid">
        <fgColor rgb="FFE4F0F0"/>
        <bgColor indexed="64"/>
      </patternFill>
    </fill>
    <fill>
      <patternFill patternType="lightGray">
        <bgColor rgb="FF2A5664"/>
      </patternFill>
    </fill>
    <fill>
      <patternFill patternType="solid">
        <fgColor rgb="FF006666"/>
        <bgColor indexed="64"/>
      </patternFill>
    </fill>
    <fill>
      <patternFill patternType="darkGrid">
        <bgColor theme="0"/>
      </patternFill>
    </fill>
    <fill>
      <patternFill patternType="solid">
        <fgColor theme="9" tint="-0.249977111117893"/>
        <bgColor indexed="64"/>
      </patternFill>
    </fill>
    <fill>
      <patternFill patternType="darkTrellis"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2A5664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2A5664"/>
        <bgColor rgb="FF47747D"/>
      </patternFill>
    </fill>
    <fill>
      <patternFill patternType="solid">
        <fgColor rgb="FF00B0F0"/>
        <bgColor indexed="64"/>
      </patternFill>
    </fill>
    <fill>
      <patternFill patternType="solid">
        <fgColor rgb="FF4682B4"/>
      </patternFill>
    </fill>
    <fill>
      <patternFill patternType="solid">
        <fgColor rgb="FFFFFFFF"/>
      </patternFill>
    </fill>
    <fill>
      <patternFill patternType="solid">
        <fgColor rgb="FFE0E0E0"/>
      </patternFill>
    </fill>
    <fill>
      <patternFill patternType="solid">
        <fgColor rgb="FFEAEAEA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" fillId="0" borderId="0"/>
    <xf numFmtId="171" fontId="15" fillId="0" borderId="0" applyBorder="0" applyProtection="0"/>
  </cellStyleXfs>
  <cellXfs count="526">
    <xf numFmtId="0" fontId="0" fillId="0" borderId="0" xfId="0"/>
    <xf numFmtId="0" fontId="3" fillId="0" borderId="0" xfId="0" applyFont="1"/>
    <xf numFmtId="0" fontId="22" fillId="2" borderId="0" xfId="0" applyFont="1" applyFill="1"/>
    <xf numFmtId="0" fontId="22" fillId="2" borderId="0" xfId="0" applyFont="1" applyFill="1" applyAlignment="1">
      <alignment vertical="center" wrapText="1"/>
    </xf>
    <xf numFmtId="0" fontId="22" fillId="2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horizontal="left" vertical="center"/>
    </xf>
    <xf numFmtId="0" fontId="3" fillId="2" borderId="1" xfId="0" applyFont="1" applyFill="1" applyBorder="1" applyAlignment="1" applyProtection="1">
      <alignment vertical="center" wrapText="1"/>
      <protection locked="0"/>
    </xf>
    <xf numFmtId="164" fontId="3" fillId="2" borderId="1" xfId="2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1" fontId="23" fillId="11" borderId="1" xfId="0" applyNumberFormat="1" applyFont="1" applyFill="1" applyBorder="1" applyAlignment="1">
      <alignment horizontal="center" vertical="center" wrapText="1"/>
    </xf>
    <xf numFmtId="165" fontId="23" fillId="11" borderId="1" xfId="0" applyNumberFormat="1" applyFont="1" applyFill="1" applyBorder="1" applyAlignment="1">
      <alignment horizontal="center" vertical="center" wrapText="1"/>
    </xf>
    <xf numFmtId="164" fontId="2" fillId="2" borderId="1" xfId="2" applyFont="1" applyFill="1" applyBorder="1" applyAlignment="1" applyProtection="1">
      <alignment vertical="center" wrapText="1"/>
      <protection locked="0"/>
    </xf>
    <xf numFmtId="164" fontId="2" fillId="3" borderId="1" xfId="2" applyFont="1" applyFill="1" applyBorder="1" applyAlignment="1" applyProtection="1">
      <alignment horizontal="left" vertical="center" wrapText="1"/>
    </xf>
    <xf numFmtId="169" fontId="2" fillId="3" borderId="1" xfId="2" applyNumberFormat="1" applyFont="1" applyFill="1" applyBorder="1" applyAlignment="1" applyProtection="1">
      <alignment horizontal="left" vertical="center" wrapText="1"/>
    </xf>
    <xf numFmtId="168" fontId="0" fillId="0" borderId="0" xfId="2" applyNumberFormat="1" applyFont="1"/>
    <xf numFmtId="169" fontId="0" fillId="0" borderId="0" xfId="2" applyNumberFormat="1" applyFont="1"/>
    <xf numFmtId="164" fontId="0" fillId="0" borderId="0" xfId="2" applyFont="1" applyFill="1" applyBorder="1"/>
    <xf numFmtId="164" fontId="0" fillId="0" borderId="0" xfId="2" applyFont="1"/>
    <xf numFmtId="164" fontId="13" fillId="0" borderId="0" xfId="2" applyFont="1"/>
    <xf numFmtId="164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1" applyNumberFormat="1" applyFont="1"/>
    <xf numFmtId="43" fontId="0" fillId="0" borderId="0" xfId="0" applyNumberFormat="1"/>
    <xf numFmtId="168" fontId="0" fillId="0" borderId="0" xfId="2" applyNumberFormat="1" applyFont="1" applyAlignment="1">
      <alignment horizontal="center"/>
    </xf>
    <xf numFmtId="169" fontId="0" fillId="0" borderId="0" xfId="2" applyNumberFormat="1" applyFont="1" applyAlignment="1">
      <alignment horizontal="center"/>
    </xf>
    <xf numFmtId="164" fontId="0" fillId="4" borderId="0" xfId="2" applyFont="1" applyFill="1"/>
    <xf numFmtId="0" fontId="20" fillId="14" borderId="35" xfId="0" applyFont="1" applyFill="1" applyBorder="1" applyAlignment="1">
      <alignment horizontal="center" vertical="center"/>
    </xf>
    <xf numFmtId="0" fontId="38" fillId="2" borderId="0" xfId="0" applyFont="1" applyFill="1"/>
    <xf numFmtId="164" fontId="3" fillId="0" borderId="0" xfId="2" applyFont="1" applyAlignment="1">
      <alignment horizontal="center"/>
    </xf>
    <xf numFmtId="168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164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169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2" fillId="15" borderId="1" xfId="2" applyFont="1" applyFill="1" applyBorder="1" applyAlignment="1" applyProtection="1">
      <alignment horizontal="center" vertical="center"/>
      <protection locked="0"/>
    </xf>
    <xf numFmtId="164" fontId="3" fillId="2" borderId="1" xfId="2" applyFont="1" applyFill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3" borderId="1" xfId="2" applyFont="1" applyFill="1" applyBorder="1" applyAlignment="1" applyProtection="1">
      <alignment horizontal="center" vertical="center" wrapText="1"/>
      <protection locked="0"/>
    </xf>
    <xf numFmtId="164" fontId="3" fillId="3" borderId="1" xfId="2" applyFont="1" applyFill="1" applyBorder="1" applyAlignment="1" applyProtection="1">
      <alignment horizontal="center" vertical="center" wrapText="1"/>
      <protection locked="0"/>
    </xf>
    <xf numFmtId="164" fontId="2" fillId="3" borderId="1" xfId="2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4" fontId="2" fillId="3" borderId="4" xfId="2" applyFont="1" applyFill="1" applyBorder="1" applyAlignment="1">
      <alignment horizontal="center" vertical="center" wrapText="1"/>
    </xf>
    <xf numFmtId="168" fontId="20" fillId="14" borderId="37" xfId="2" applyNumberFormat="1" applyFont="1" applyFill="1" applyBorder="1" applyAlignment="1">
      <alignment horizontal="center" vertical="center" wrapText="1"/>
    </xf>
    <xf numFmtId="169" fontId="20" fillId="14" borderId="35" xfId="2" applyNumberFormat="1" applyFont="1" applyFill="1" applyBorder="1" applyAlignment="1">
      <alignment horizontal="center" vertical="center" wrapText="1"/>
    </xf>
    <xf numFmtId="168" fontId="20" fillId="14" borderId="35" xfId="2" applyNumberFormat="1" applyFont="1" applyFill="1" applyBorder="1" applyAlignment="1">
      <alignment horizontal="center" vertical="center" wrapText="1"/>
    </xf>
    <xf numFmtId="168" fontId="20" fillId="14" borderId="38" xfId="2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164" fontId="20" fillId="14" borderId="39" xfId="2" applyFont="1" applyFill="1" applyBorder="1" applyAlignment="1">
      <alignment horizontal="center" vertical="center" wrapText="1"/>
    </xf>
    <xf numFmtId="49" fontId="20" fillId="14" borderId="35" xfId="2" applyNumberFormat="1" applyFont="1" applyFill="1" applyBorder="1" applyAlignment="1">
      <alignment horizontal="center" vertical="center" wrapText="1"/>
    </xf>
    <xf numFmtId="49" fontId="0" fillId="0" borderId="0" xfId="2" applyNumberFormat="1" applyFont="1" applyAlignment="1">
      <alignment horizontal="center" vertical="center" wrapText="1"/>
    </xf>
    <xf numFmtId="49" fontId="13" fillId="0" borderId="0" xfId="2" applyNumberFormat="1" applyFont="1" applyAlignment="1">
      <alignment horizontal="center" vertical="center" wrapText="1"/>
    </xf>
    <xf numFmtId="49" fontId="0" fillId="0" borderId="0" xfId="0" applyNumberFormat="1"/>
    <xf numFmtId="164" fontId="23" fillId="16" borderId="41" xfId="2" applyFont="1" applyFill="1" applyBorder="1" applyAlignment="1">
      <alignment horizontal="center" vertical="center" wrapText="1"/>
    </xf>
    <xf numFmtId="0" fontId="23" fillId="14" borderId="11" xfId="0" applyFont="1" applyFill="1" applyBorder="1" applyAlignment="1">
      <alignment horizontal="center" vertical="center" wrapText="1"/>
    </xf>
    <xf numFmtId="168" fontId="20" fillId="14" borderId="37" xfId="2" applyNumberFormat="1" applyFont="1" applyFill="1" applyBorder="1" applyAlignment="1">
      <alignment horizontal="center" vertical="center"/>
    </xf>
    <xf numFmtId="49" fontId="0" fillId="0" borderId="0" xfId="2" applyNumberFormat="1" applyFont="1" applyFill="1" applyBorder="1"/>
    <xf numFmtId="49" fontId="0" fillId="0" borderId="0" xfId="2" applyNumberFormat="1" applyFont="1"/>
    <xf numFmtId="49" fontId="13" fillId="0" borderId="0" xfId="2" applyNumberFormat="1" applyFont="1"/>
    <xf numFmtId="164" fontId="38" fillId="0" borderId="0" xfId="2" applyFont="1"/>
    <xf numFmtId="164" fontId="13" fillId="0" borderId="0" xfId="2" applyFont="1" applyFill="1" applyBorder="1"/>
    <xf numFmtId="49" fontId="20" fillId="14" borderId="40" xfId="2" applyNumberFormat="1" applyFont="1" applyFill="1" applyBorder="1" applyAlignment="1">
      <alignment horizontal="center" vertical="center" wrapText="1"/>
    </xf>
    <xf numFmtId="0" fontId="39" fillId="0" borderId="0" xfId="11" applyFont="1"/>
    <xf numFmtId="166" fontId="14" fillId="0" borderId="0" xfId="1" applyNumberFormat="1" applyFont="1"/>
    <xf numFmtId="0" fontId="22" fillId="0" borderId="1" xfId="11" applyFont="1" applyBorder="1" applyAlignment="1">
      <alignment vertical="center" wrapText="1" readingOrder="1"/>
    </xf>
    <xf numFmtId="0" fontId="24" fillId="0" borderId="0" xfId="11" applyFont="1" applyAlignment="1">
      <alignment horizontal="left"/>
    </xf>
    <xf numFmtId="0" fontId="24" fillId="0" borderId="0" xfId="11" applyFont="1"/>
    <xf numFmtId="165" fontId="40" fillId="0" borderId="0" xfId="11" applyNumberFormat="1" applyFont="1" applyAlignment="1">
      <alignment horizontal="center" vertical="center"/>
    </xf>
    <xf numFmtId="0" fontId="40" fillId="0" borderId="0" xfId="11" applyFont="1" applyAlignment="1">
      <alignment horizontal="center" vertical="center"/>
    </xf>
    <xf numFmtId="165" fontId="24" fillId="0" borderId="0" xfId="11" applyNumberFormat="1" applyFont="1"/>
    <xf numFmtId="41" fontId="24" fillId="0" borderId="0" xfId="11" applyNumberFormat="1" applyFont="1"/>
    <xf numFmtId="164" fontId="24" fillId="0" borderId="0" xfId="2" applyFont="1"/>
    <xf numFmtId="164" fontId="40" fillId="0" borderId="0" xfId="2" applyFont="1" applyAlignment="1">
      <alignment horizontal="center" vertical="center"/>
    </xf>
    <xf numFmtId="0" fontId="23" fillId="11" borderId="48" xfId="11" applyFont="1" applyFill="1" applyBorder="1" applyAlignment="1">
      <alignment horizontal="center" vertical="center" wrapText="1"/>
    </xf>
    <xf numFmtId="164" fontId="23" fillId="11" borderId="48" xfId="2" applyFont="1" applyFill="1" applyBorder="1" applyAlignment="1">
      <alignment horizontal="center" vertical="center" wrapText="1"/>
    </xf>
    <xf numFmtId="164" fontId="23" fillId="11" borderId="1" xfId="2" applyFont="1" applyFill="1" applyBorder="1" applyAlignment="1">
      <alignment horizontal="center"/>
    </xf>
    <xf numFmtId="41" fontId="23" fillId="11" borderId="1" xfId="11" applyNumberFormat="1" applyFont="1" applyFill="1" applyBorder="1" applyAlignment="1">
      <alignment horizontal="center"/>
    </xf>
    <xf numFmtId="164" fontId="22" fillId="0" borderId="0" xfId="2" applyFont="1"/>
    <xf numFmtId="0" fontId="3" fillId="0" borderId="0" xfId="11" applyFont="1" applyAlignment="1">
      <alignment horizontal="left" vertical="center"/>
    </xf>
    <xf numFmtId="0" fontId="25" fillId="11" borderId="0" xfId="11" applyFont="1" applyFill="1" applyAlignment="1">
      <alignment horizontal="center" vertical="center"/>
    </xf>
    <xf numFmtId="164" fontId="3" fillId="17" borderId="1" xfId="2" applyFont="1" applyFill="1" applyBorder="1" applyAlignment="1" applyProtection="1">
      <alignment horizontal="center" vertical="center" wrapText="1"/>
      <protection locked="0"/>
    </xf>
    <xf numFmtId="0" fontId="41" fillId="3" borderId="1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 wrapText="1"/>
    </xf>
    <xf numFmtId="0" fontId="21" fillId="18" borderId="1" xfId="0" applyFont="1" applyFill="1" applyBorder="1" applyAlignment="1">
      <alignment horizontal="center" vertical="center" wrapText="1"/>
    </xf>
    <xf numFmtId="164" fontId="37" fillId="2" borderId="0" xfId="2" applyFont="1" applyFill="1" applyAlignment="1">
      <alignment vertical="center" wrapText="1"/>
    </xf>
    <xf numFmtId="0" fontId="14" fillId="0" borderId="0" xfId="0" applyFont="1" applyProtection="1">
      <protection locked="0"/>
    </xf>
    <xf numFmtId="0" fontId="1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23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23" fillId="11" borderId="15" xfId="0" applyFont="1" applyFill="1" applyBorder="1" applyAlignment="1" applyProtection="1">
      <alignment horizontal="left" vertical="center" wrapText="1"/>
      <protection locked="0"/>
    </xf>
    <xf numFmtId="0" fontId="23" fillId="11" borderId="18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Border="1" applyAlignment="1" applyProtection="1">
      <alignment horizontal="center" wrapText="1"/>
      <protection locked="0"/>
    </xf>
    <xf numFmtId="0" fontId="22" fillId="0" borderId="28" xfId="0" applyFont="1" applyBorder="1" applyAlignment="1" applyProtection="1">
      <alignment horizontal="center" vertical="top" wrapText="1"/>
      <protection locked="0"/>
    </xf>
    <xf numFmtId="0" fontId="23" fillId="2" borderId="5" xfId="0" applyFont="1" applyFill="1" applyBorder="1" applyAlignment="1" applyProtection="1">
      <alignment horizontal="left" vertical="center"/>
      <protection locked="0"/>
    </xf>
    <xf numFmtId="0" fontId="23" fillId="11" borderId="1" xfId="0" applyFont="1" applyFill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horizontal="center" wrapText="1"/>
      <protection locked="0"/>
    </xf>
    <xf numFmtId="0" fontId="22" fillId="0" borderId="1" xfId="0" applyFont="1" applyBorder="1" applyAlignment="1" applyProtection="1">
      <alignment horizontal="center" vertical="top" wrapText="1"/>
      <protection locked="0"/>
    </xf>
    <xf numFmtId="0" fontId="22" fillId="2" borderId="1" xfId="0" applyFont="1" applyFill="1" applyBorder="1" applyAlignment="1" applyProtection="1">
      <alignment horizontal="center" wrapText="1"/>
      <protection locked="0"/>
    </xf>
    <xf numFmtId="0" fontId="2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22" fillId="2" borderId="1" xfId="0" applyFont="1" applyFill="1" applyBorder="1" applyAlignment="1" applyProtection="1">
      <alignment horizontal="left" vertical="center" wrapText="1"/>
      <protection locked="0"/>
    </xf>
    <xf numFmtId="0" fontId="22" fillId="6" borderId="1" xfId="3" applyFont="1" applyFill="1" applyBorder="1" applyAlignment="1" applyProtection="1">
      <alignment horizontal="center" wrapText="1"/>
      <protection locked="0"/>
    </xf>
    <xf numFmtId="0" fontId="22" fillId="6" borderId="1" xfId="3" applyFont="1" applyFill="1" applyBorder="1" applyAlignment="1" applyProtection="1">
      <alignment horizontal="center" vertical="top" wrapText="1"/>
      <protection locked="0"/>
    </xf>
    <xf numFmtId="0" fontId="22" fillId="2" borderId="1" xfId="3" applyFont="1" applyFill="1" applyBorder="1" applyAlignment="1" applyProtection="1">
      <alignment horizontal="center" wrapText="1"/>
      <protection locked="0"/>
    </xf>
    <xf numFmtId="0" fontId="22" fillId="2" borderId="1" xfId="3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/>
    <xf numFmtId="0" fontId="21" fillId="2" borderId="0" xfId="0" applyFont="1" applyFill="1" applyAlignment="1">
      <alignment horizontal="center" vertical="center" wrapText="1"/>
    </xf>
    <xf numFmtId="1" fontId="22" fillId="2" borderId="0" xfId="1" applyNumberFormat="1" applyFont="1" applyFill="1" applyBorder="1" applyAlignment="1" applyProtection="1">
      <alignment horizontal="center" vertical="center"/>
    </xf>
    <xf numFmtId="1" fontId="22" fillId="2" borderId="0" xfId="1" applyNumberFormat="1" applyFont="1" applyFill="1" applyBorder="1" applyAlignment="1" applyProtection="1">
      <alignment horizontal="center" vertical="center" wrapText="1"/>
    </xf>
    <xf numFmtId="1" fontId="22" fillId="2" borderId="0" xfId="2" applyNumberFormat="1" applyFont="1" applyFill="1" applyBorder="1" applyAlignment="1" applyProtection="1">
      <alignment horizontal="center" vertical="center" wrapText="1"/>
    </xf>
    <xf numFmtId="3" fontId="22" fillId="2" borderId="0" xfId="2" applyNumberFormat="1" applyFont="1" applyFill="1" applyBorder="1" applyAlignment="1" applyProtection="1">
      <alignment horizontal="center" vertical="center" wrapText="1"/>
    </xf>
    <xf numFmtId="168" fontId="0" fillId="0" borderId="0" xfId="2" applyNumberFormat="1" applyFont="1" applyFill="1" applyBorder="1"/>
    <xf numFmtId="0" fontId="3" fillId="2" borderId="0" xfId="0" applyFont="1" applyFill="1" applyAlignment="1" applyProtection="1">
      <alignment horizontal="center"/>
      <protection locked="0"/>
    </xf>
    <xf numFmtId="164" fontId="3" fillId="3" borderId="1" xfId="2" applyFont="1" applyFill="1" applyBorder="1" applyAlignment="1" applyProtection="1">
      <alignment vertical="center" wrapText="1"/>
    </xf>
    <xf numFmtId="169" fontId="3" fillId="3" borderId="1" xfId="2" applyNumberFormat="1" applyFont="1" applyFill="1" applyBorder="1" applyAlignment="1" applyProtection="1">
      <alignment vertical="center" wrapText="1"/>
    </xf>
    <xf numFmtId="164" fontId="23" fillId="11" borderId="9" xfId="2" applyFont="1" applyFill="1" applyBorder="1" applyAlignment="1" applyProtection="1">
      <alignment vertical="center" wrapText="1"/>
    </xf>
    <xf numFmtId="164" fontId="2" fillId="3" borderId="1" xfId="2" applyFont="1" applyFill="1" applyBorder="1" applyAlignment="1" applyProtection="1">
      <alignment vertical="center" wrapText="1"/>
    </xf>
    <xf numFmtId="169" fontId="2" fillId="3" borderId="1" xfId="2" applyNumberFormat="1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164" fontId="21" fillId="2" borderId="0" xfId="2" applyFont="1" applyFill="1" applyBorder="1" applyAlignment="1" applyProtection="1">
      <alignment horizontal="left" vertical="center" wrapText="1"/>
    </xf>
    <xf numFmtId="0" fontId="4" fillId="2" borderId="0" xfId="0" applyFont="1" applyFill="1" applyProtection="1">
      <protection locked="0"/>
    </xf>
    <xf numFmtId="41" fontId="2" fillId="2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1" xfId="2" applyFont="1" applyFill="1" applyBorder="1" applyAlignment="1" applyProtection="1">
      <alignment horizontal="right" vertical="center" wrapText="1"/>
      <protection locked="0"/>
    </xf>
    <xf numFmtId="16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7" fontId="2" fillId="2" borderId="0" xfId="2" applyNumberFormat="1" applyFont="1" applyFill="1" applyBorder="1" applyAlignment="1" applyProtection="1">
      <alignment horizontal="right" vertical="center" wrapText="1"/>
      <protection locked="0"/>
    </xf>
    <xf numFmtId="167" fontId="2" fillId="2" borderId="0" xfId="2" applyNumberFormat="1" applyFont="1" applyFill="1" applyBorder="1" applyAlignment="1" applyProtection="1">
      <alignment vertical="center" wrapText="1"/>
      <protection locked="0"/>
    </xf>
    <xf numFmtId="164" fontId="2" fillId="2" borderId="0" xfId="2" applyFont="1" applyFill="1" applyBorder="1" applyAlignment="1" applyProtection="1">
      <alignment horizontal="left" vertical="center" wrapText="1"/>
      <protection locked="0"/>
    </xf>
    <xf numFmtId="41" fontId="2" fillId="2" borderId="0" xfId="0" applyNumberFormat="1" applyFont="1" applyFill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vertical="center" wrapText="1" readingOrder="1"/>
      <protection locked="0"/>
    </xf>
    <xf numFmtId="0" fontId="2" fillId="2" borderId="0" xfId="0" applyFont="1" applyFill="1" applyAlignment="1" applyProtection="1">
      <alignment horizontal="center" vertical="center" textRotation="90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167" fontId="2" fillId="2" borderId="0" xfId="2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wrapText="1"/>
      <protection locked="0"/>
    </xf>
    <xf numFmtId="41" fontId="2" fillId="2" borderId="0" xfId="0" applyNumberFormat="1" applyFont="1" applyFill="1" applyAlignment="1">
      <alignment horizontal="center" vertical="center" wrapText="1"/>
    </xf>
    <xf numFmtId="164" fontId="23" fillId="11" borderId="1" xfId="2" applyFont="1" applyFill="1" applyBorder="1" applyAlignment="1" applyProtection="1">
      <alignment horizontal="left" vertical="center" wrapText="1"/>
    </xf>
    <xf numFmtId="169" fontId="23" fillId="11" borderId="1" xfId="2" applyNumberFormat="1" applyFont="1" applyFill="1" applyBorder="1" applyAlignment="1" applyProtection="1">
      <alignment horizontal="left" vertical="center" wrapText="1"/>
    </xf>
    <xf numFmtId="41" fontId="2" fillId="2" borderId="1" xfId="0" applyNumberFormat="1" applyFont="1" applyFill="1" applyBorder="1" applyAlignment="1">
      <alignment horizontal="center" vertical="center" wrapText="1"/>
    </xf>
    <xf numFmtId="41" fontId="2" fillId="12" borderId="1" xfId="0" applyNumberFormat="1" applyFont="1" applyFill="1" applyBorder="1" applyAlignment="1">
      <alignment horizontal="center" vertical="center" wrapText="1"/>
    </xf>
    <xf numFmtId="169" fontId="2" fillId="3" borderId="1" xfId="2" applyNumberFormat="1" applyFont="1" applyFill="1" applyBorder="1" applyAlignment="1" applyProtection="1">
      <alignment horizontal="right" vertical="center" wrapText="1"/>
    </xf>
    <xf numFmtId="166" fontId="2" fillId="3" borderId="1" xfId="2" applyNumberFormat="1" applyFont="1" applyFill="1" applyBorder="1" applyAlignment="1" applyProtection="1">
      <alignment horizontal="right" vertical="center" wrapText="1"/>
    </xf>
    <xf numFmtId="164" fontId="21" fillId="2" borderId="0" xfId="2" applyFont="1" applyFill="1" applyBorder="1" applyAlignment="1" applyProtection="1">
      <alignment horizontal="right" vertical="center" wrapText="1"/>
    </xf>
    <xf numFmtId="164" fontId="21" fillId="2" borderId="0" xfId="0" applyNumberFormat="1" applyFont="1" applyFill="1" applyAlignment="1">
      <alignment horizontal="right" vertical="center" wrapText="1"/>
    </xf>
    <xf numFmtId="166" fontId="21" fillId="2" borderId="0" xfId="2" applyNumberFormat="1" applyFont="1" applyFill="1" applyBorder="1" applyAlignment="1" applyProtection="1">
      <alignment horizontal="right" vertical="center" wrapText="1"/>
    </xf>
    <xf numFmtId="164" fontId="2" fillId="3" borderId="1" xfId="2" applyFont="1" applyFill="1" applyBorder="1" applyAlignment="1" applyProtection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6" fontId="2" fillId="3" borderId="1" xfId="1" applyNumberFormat="1" applyFont="1" applyFill="1" applyBorder="1" applyAlignment="1" applyProtection="1">
      <alignment horizontal="right" vertical="center" wrapText="1"/>
    </xf>
    <xf numFmtId="166" fontId="21" fillId="2" borderId="0" xfId="1" applyNumberFormat="1" applyFont="1" applyFill="1" applyBorder="1" applyAlignment="1" applyProtection="1">
      <alignment horizontal="right" vertical="center" wrapText="1"/>
    </xf>
    <xf numFmtId="41" fontId="21" fillId="13" borderId="1" xfId="0" applyNumberFormat="1" applyFont="1" applyFill="1" applyBorder="1" applyAlignment="1">
      <alignment vertical="center" wrapText="1"/>
    </xf>
    <xf numFmtId="165" fontId="21" fillId="13" borderId="1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21" fillId="2" borderId="0" xfId="0" applyFont="1" applyFill="1" applyAlignment="1" applyProtection="1">
      <alignment horizontal="left" wrapText="1"/>
      <protection locked="0"/>
    </xf>
    <xf numFmtId="0" fontId="23" fillId="11" borderId="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Border="1" applyAlignment="1" applyProtection="1">
      <alignment horizontal="center" vertical="center" wrapText="1"/>
      <protection locked="0"/>
    </xf>
    <xf numFmtId="0" fontId="22" fillId="0" borderId="32" xfId="0" applyFont="1" applyBorder="1" applyAlignment="1" applyProtection="1">
      <alignment horizontal="center" vertical="center" wrapText="1"/>
      <protection locked="0"/>
    </xf>
    <xf numFmtId="0" fontId="23" fillId="11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5" fillId="0" borderId="0" xfId="0" applyFont="1"/>
    <xf numFmtId="0" fontId="46" fillId="0" borderId="0" xfId="0" applyFont="1" applyAlignment="1">
      <alignment horizontal="left" vertical="center" wrapText="1"/>
    </xf>
    <xf numFmtId="0" fontId="23" fillId="19" borderId="4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47" fillId="11" borderId="51" xfId="0" applyFont="1" applyFill="1" applyBorder="1" applyProtection="1">
      <protection locked="0"/>
    </xf>
    <xf numFmtId="0" fontId="47" fillId="11" borderId="52" xfId="0" applyFont="1" applyFill="1" applyBorder="1" applyProtection="1">
      <protection locked="0"/>
    </xf>
    <xf numFmtId="0" fontId="47" fillId="11" borderId="53" xfId="0" applyFont="1" applyFill="1" applyBorder="1" applyProtection="1">
      <protection locked="0"/>
    </xf>
    <xf numFmtId="0" fontId="47" fillId="11" borderId="54" xfId="0" applyFont="1" applyFill="1" applyBorder="1" applyProtection="1">
      <protection locked="0"/>
    </xf>
    <xf numFmtId="0" fontId="3" fillId="21" borderId="0" xfId="11" applyFont="1" applyFill="1" applyAlignment="1">
      <alignment horizontal="left" vertical="center"/>
    </xf>
    <xf numFmtId="41" fontId="2" fillId="22" borderId="1" xfId="11" applyNumberFormat="1" applyFont="1" applyFill="1" applyBorder="1" applyAlignment="1">
      <alignment horizontal="center" vertical="center" wrapText="1"/>
    </xf>
    <xf numFmtId="164" fontId="2" fillId="22" borderId="1" xfId="2" applyFont="1" applyFill="1" applyBorder="1" applyAlignment="1">
      <alignment horizontal="center" vertical="center" wrapText="1"/>
    </xf>
    <xf numFmtId="172" fontId="2" fillId="22" borderId="1" xfId="13" applyNumberFormat="1" applyFont="1" applyFill="1" applyBorder="1" applyAlignment="1">
      <alignment horizontal="right" vertical="center" wrapText="1"/>
    </xf>
    <xf numFmtId="0" fontId="23" fillId="11" borderId="11" xfId="0" applyFont="1" applyFill="1" applyBorder="1" applyAlignment="1">
      <alignment horizontal="center" vertical="center" wrapText="1"/>
    </xf>
    <xf numFmtId="164" fontId="23" fillId="11" borderId="1" xfId="2" applyFont="1" applyFill="1" applyBorder="1" applyAlignment="1" applyProtection="1">
      <alignment horizontal="center" vertical="center" wrapText="1"/>
    </xf>
    <xf numFmtId="164" fontId="2" fillId="21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0" xfId="0" applyFont="1" applyFill="1" applyAlignment="1" applyProtection="1">
      <alignment vertical="center" wrapText="1"/>
      <protection locked="0"/>
    </xf>
    <xf numFmtId="0" fontId="25" fillId="11" borderId="58" xfId="0" applyFont="1" applyFill="1" applyBorder="1"/>
    <xf numFmtId="0" fontId="47" fillId="11" borderId="22" xfId="0" applyFont="1" applyFill="1" applyBorder="1" applyProtection="1">
      <protection locked="0"/>
    </xf>
    <xf numFmtId="0" fontId="47" fillId="11" borderId="23" xfId="0" applyFont="1" applyFill="1" applyBorder="1" applyProtection="1">
      <protection locked="0"/>
    </xf>
    <xf numFmtId="0" fontId="23" fillId="11" borderId="16" xfId="0" applyFont="1" applyFill="1" applyBorder="1"/>
    <xf numFmtId="0" fontId="23" fillId="11" borderId="50" xfId="0" applyFont="1" applyFill="1" applyBorder="1"/>
    <xf numFmtId="41" fontId="23" fillId="11" borderId="11" xfId="0" applyNumberFormat="1" applyFont="1" applyFill="1" applyBorder="1" applyAlignment="1">
      <alignment horizontal="center" vertical="center" wrapText="1"/>
    </xf>
    <xf numFmtId="164" fontId="2" fillId="2" borderId="1" xfId="2" applyFont="1" applyFill="1" applyBorder="1" applyAlignment="1" applyProtection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3" fontId="22" fillId="2" borderId="1" xfId="0" applyNumberFormat="1" applyFont="1" applyFill="1" applyBorder="1" applyAlignment="1">
      <alignment horizontal="center" vertical="center"/>
    </xf>
    <xf numFmtId="168" fontId="22" fillId="2" borderId="1" xfId="2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  <protection locked="0"/>
    </xf>
    <xf numFmtId="169" fontId="2" fillId="2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1" fontId="23" fillId="2" borderId="0" xfId="0" applyNumberFormat="1" applyFont="1" applyFill="1" applyAlignment="1">
      <alignment horizontal="center" vertical="center" wrapText="1"/>
    </xf>
    <xf numFmtId="41" fontId="56" fillId="5" borderId="1" xfId="0" applyNumberFormat="1" applyFont="1" applyFill="1" applyBorder="1" applyAlignment="1">
      <alignment horizontal="center" vertical="center" wrapText="1"/>
    </xf>
    <xf numFmtId="41" fontId="55" fillId="11" borderId="1" xfId="0" applyNumberFormat="1" applyFont="1" applyFill="1" applyBorder="1" applyAlignment="1">
      <alignment horizontal="center" vertical="center" wrapText="1"/>
    </xf>
    <xf numFmtId="169" fontId="23" fillId="11" borderId="1" xfId="0" applyNumberFormat="1" applyFont="1" applyFill="1" applyBorder="1" applyAlignment="1">
      <alignment horizontal="center" vertical="center" wrapText="1"/>
    </xf>
    <xf numFmtId="173" fontId="2" fillId="3" borderId="1" xfId="2" applyNumberFormat="1" applyFont="1" applyFill="1" applyBorder="1" applyAlignment="1" applyProtection="1">
      <alignment vertical="center" wrapText="1"/>
    </xf>
    <xf numFmtId="173" fontId="3" fillId="3" borderId="1" xfId="2" applyNumberFormat="1" applyFont="1" applyFill="1" applyBorder="1" applyAlignment="1" applyProtection="1">
      <alignment vertical="center" wrapText="1"/>
    </xf>
    <xf numFmtId="173" fontId="3" fillId="2" borderId="1" xfId="2" applyNumberFormat="1" applyFont="1" applyFill="1" applyBorder="1" applyAlignment="1" applyProtection="1">
      <alignment vertical="center" wrapText="1"/>
      <protection locked="0"/>
    </xf>
    <xf numFmtId="173" fontId="3" fillId="3" borderId="1" xfId="2" applyNumberFormat="1" applyFont="1" applyFill="1" applyBorder="1" applyAlignment="1" applyProtection="1">
      <alignment vertical="center" wrapText="1"/>
      <protection locked="0"/>
    </xf>
    <xf numFmtId="164" fontId="3" fillId="2" borderId="1" xfId="2" applyFont="1" applyFill="1" applyBorder="1" applyAlignment="1" applyProtection="1">
      <alignment vertical="center"/>
      <protection locked="0"/>
    </xf>
    <xf numFmtId="173" fontId="3" fillId="2" borderId="1" xfId="2" applyNumberFormat="1" applyFont="1" applyFill="1" applyBorder="1" applyAlignment="1" applyProtection="1">
      <alignment vertical="center"/>
      <protection locked="0"/>
    </xf>
    <xf numFmtId="173" fontId="3" fillId="3" borderId="1" xfId="2" applyNumberFormat="1" applyFont="1" applyFill="1" applyBorder="1" applyAlignment="1" applyProtection="1">
      <alignment vertical="center"/>
      <protection locked="0"/>
    </xf>
    <xf numFmtId="164" fontId="2" fillId="2" borderId="1" xfId="2" applyFont="1" applyFill="1" applyBorder="1" applyAlignment="1" applyProtection="1">
      <alignment vertical="center"/>
      <protection locked="0"/>
    </xf>
    <xf numFmtId="173" fontId="2" fillId="2" borderId="1" xfId="2" applyNumberFormat="1" applyFont="1" applyFill="1" applyBorder="1" applyAlignment="1" applyProtection="1">
      <alignment vertical="center"/>
      <protection locked="0"/>
    </xf>
    <xf numFmtId="173" fontId="2" fillId="3" borderId="1" xfId="2" applyNumberFormat="1" applyFont="1" applyFill="1" applyBorder="1" applyAlignment="1" applyProtection="1">
      <alignment vertical="center"/>
      <protection locked="0"/>
    </xf>
    <xf numFmtId="173" fontId="2" fillId="2" borderId="1" xfId="2" applyNumberFormat="1" applyFont="1" applyFill="1" applyBorder="1" applyAlignment="1" applyProtection="1">
      <alignment vertical="center" wrapText="1"/>
      <protection locked="0"/>
    </xf>
    <xf numFmtId="173" fontId="2" fillId="3" borderId="1" xfId="2" applyNumberFormat="1" applyFont="1" applyFill="1" applyBorder="1" applyAlignment="1" applyProtection="1">
      <alignment vertical="center" wrapText="1"/>
      <protection locked="0"/>
    </xf>
    <xf numFmtId="43" fontId="2" fillId="0" borderId="0" xfId="0" applyNumberFormat="1" applyFont="1" applyAlignment="1">
      <alignment horizontal="center" vertical="center" wrapText="1"/>
    </xf>
    <xf numFmtId="41" fontId="2" fillId="3" borderId="1" xfId="2" applyNumberFormat="1" applyFont="1" applyFill="1" applyBorder="1" applyAlignment="1" applyProtection="1">
      <alignment vertical="center" wrapText="1"/>
    </xf>
    <xf numFmtId="164" fontId="21" fillId="13" borderId="1" xfId="2" applyFont="1" applyFill="1" applyBorder="1" applyAlignment="1" applyProtection="1">
      <alignment vertical="center" wrapText="1"/>
    </xf>
    <xf numFmtId="173" fontId="21" fillId="13" borderId="1" xfId="2" applyNumberFormat="1" applyFont="1" applyFill="1" applyBorder="1" applyAlignment="1" applyProtection="1">
      <alignment vertical="center" wrapText="1"/>
    </xf>
    <xf numFmtId="169" fontId="21" fillId="13" borderId="1" xfId="2" applyNumberFormat="1" applyFont="1" applyFill="1" applyBorder="1" applyAlignment="1" applyProtection="1">
      <alignment vertical="center" wrapText="1"/>
    </xf>
    <xf numFmtId="164" fontId="2" fillId="3" borderId="1" xfId="2" applyFont="1" applyFill="1" applyBorder="1" applyAlignment="1" applyProtection="1">
      <alignment vertical="center"/>
    </xf>
    <xf numFmtId="173" fontId="2" fillId="3" borderId="1" xfId="2" applyNumberFormat="1" applyFont="1" applyFill="1" applyBorder="1" applyAlignment="1" applyProtection="1">
      <alignment vertical="center"/>
    </xf>
    <xf numFmtId="164" fontId="2" fillId="0" borderId="0" xfId="2" applyFont="1" applyFill="1" applyBorder="1" applyAlignment="1" applyProtection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2" borderId="1" xfId="2" applyFont="1" applyFill="1" applyBorder="1" applyAlignment="1" applyProtection="1">
      <alignment vertical="center" wrapText="1"/>
    </xf>
    <xf numFmtId="169" fontId="2" fillId="2" borderId="1" xfId="2" applyNumberFormat="1" applyFont="1" applyFill="1" applyBorder="1" applyAlignment="1" applyProtection="1">
      <alignment vertical="center" wrapText="1"/>
    </xf>
    <xf numFmtId="174" fontId="2" fillId="0" borderId="13" xfId="0" applyNumberFormat="1" applyFont="1" applyBorder="1" applyAlignment="1" applyProtection="1">
      <alignment horizontal="center" vertical="center" wrapText="1"/>
      <protection locked="0"/>
    </xf>
    <xf numFmtId="0" fontId="3" fillId="11" borderId="0" xfId="0" applyFont="1" applyFill="1" applyAlignment="1" applyProtection="1">
      <alignment vertical="center"/>
      <protection locked="0"/>
    </xf>
    <xf numFmtId="0" fontId="57" fillId="24" borderId="11" xfId="0" applyFont="1" applyFill="1" applyBorder="1" applyAlignment="1">
      <alignment vertical="center" wrapText="1"/>
    </xf>
    <xf numFmtId="0" fontId="57" fillId="24" borderId="1" xfId="0" applyFont="1" applyFill="1" applyBorder="1" applyAlignment="1">
      <alignment horizontal="center" vertical="center" wrapText="1"/>
    </xf>
    <xf numFmtId="0" fontId="57" fillId="24" borderId="8" xfId="0" applyFont="1" applyFill="1" applyBorder="1" applyAlignment="1">
      <alignment vertical="center" wrapText="1"/>
    </xf>
    <xf numFmtId="0" fontId="57" fillId="24" borderId="11" xfId="0" applyFont="1" applyFill="1" applyBorder="1" applyAlignment="1">
      <alignment horizontal="center" vertical="center" wrapText="1"/>
    </xf>
    <xf numFmtId="0" fontId="58" fillId="2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4" borderId="1" xfId="2" applyFont="1" applyFill="1" applyBorder="1" applyAlignment="1" applyProtection="1">
      <alignment vertical="center" wrapText="1"/>
    </xf>
    <xf numFmtId="164" fontId="2" fillId="23" borderId="1" xfId="2" applyFont="1" applyFill="1" applyBorder="1" applyAlignment="1" applyProtection="1">
      <alignment vertical="center" wrapText="1"/>
    </xf>
    <xf numFmtId="169" fontId="2" fillId="4" borderId="1" xfId="2" applyNumberFormat="1" applyFont="1" applyFill="1" applyBorder="1" applyAlignment="1" applyProtection="1">
      <alignment vertical="center" wrapText="1"/>
    </xf>
    <xf numFmtId="169" fontId="2" fillId="23" borderId="1" xfId="2" applyNumberFormat="1" applyFont="1" applyFill="1" applyBorder="1" applyAlignment="1" applyProtection="1">
      <alignment vertical="center" wrapText="1"/>
    </xf>
    <xf numFmtId="168" fontId="2" fillId="4" borderId="1" xfId="2" applyNumberFormat="1" applyFont="1" applyFill="1" applyBorder="1" applyAlignment="1" applyProtection="1">
      <alignment vertical="center" wrapText="1"/>
    </xf>
    <xf numFmtId="0" fontId="57" fillId="24" borderId="1" xfId="0" applyFont="1" applyFill="1" applyBorder="1" applyAlignment="1">
      <alignment vertical="center"/>
    </xf>
    <xf numFmtId="164" fontId="57" fillId="24" borderId="1" xfId="2" applyFont="1" applyFill="1" applyBorder="1" applyAlignment="1" applyProtection="1">
      <alignment vertical="center"/>
    </xf>
    <xf numFmtId="169" fontId="57" fillId="24" borderId="1" xfId="2" applyNumberFormat="1" applyFont="1" applyFill="1" applyBorder="1" applyAlignment="1" applyProtection="1">
      <alignment vertical="center"/>
    </xf>
    <xf numFmtId="168" fontId="57" fillId="24" borderId="1" xfId="2" applyNumberFormat="1" applyFont="1" applyFill="1" applyBorder="1" applyAlignment="1" applyProtection="1">
      <alignment vertical="center"/>
    </xf>
    <xf numFmtId="0" fontId="59" fillId="25" borderId="17" xfId="0" applyFont="1" applyFill="1" applyBorder="1" applyAlignment="1" applyProtection="1">
      <alignment vertical="center" wrapText="1"/>
      <protection locked="0"/>
    </xf>
    <xf numFmtId="169" fontId="2" fillId="0" borderId="13" xfId="0" applyNumberFormat="1" applyFont="1" applyBorder="1" applyAlignment="1" applyProtection="1">
      <alignment horizontal="center" vertical="center" wrapText="1"/>
      <protection locked="0"/>
    </xf>
    <xf numFmtId="0" fontId="59" fillId="25" borderId="0" xfId="0" applyFont="1" applyFill="1" applyAlignment="1" applyProtection="1">
      <alignment vertical="center" wrapText="1"/>
      <protection locked="0"/>
    </xf>
    <xf numFmtId="164" fontId="22" fillId="0" borderId="0" xfId="2" applyFont="1" applyAlignment="1" applyProtection="1">
      <alignment horizontal="center" vertical="center"/>
      <protection locked="0"/>
    </xf>
    <xf numFmtId="0" fontId="57" fillId="24" borderId="1" xfId="0" applyFont="1" applyFill="1" applyBorder="1" applyAlignment="1">
      <alignment vertical="center" wrapText="1"/>
    </xf>
    <xf numFmtId="164" fontId="21" fillId="0" borderId="1" xfId="2" applyFont="1" applyFill="1" applyBorder="1" applyAlignment="1" applyProtection="1">
      <alignment horizontal="right" vertical="center" wrapText="1"/>
    </xf>
    <xf numFmtId="0" fontId="57" fillId="24" borderId="1" xfId="0" applyFont="1" applyFill="1" applyBorder="1" applyAlignment="1">
      <alignment horizontal="left" vertical="center" wrapText="1"/>
    </xf>
    <xf numFmtId="164" fontId="57" fillId="24" borderId="1" xfId="2" applyFont="1" applyFill="1" applyBorder="1" applyAlignment="1" applyProtection="1">
      <alignment horizontal="center" vertical="center" wrapText="1"/>
    </xf>
    <xf numFmtId="0" fontId="57" fillId="26" borderId="1" xfId="0" applyFont="1" applyFill="1" applyBorder="1" applyAlignment="1">
      <alignment horizontal="center" vertical="center" wrapText="1"/>
    </xf>
    <xf numFmtId="164" fontId="21" fillId="0" borderId="1" xfId="2" applyFont="1" applyBorder="1" applyAlignment="1" applyProtection="1">
      <alignment horizontal="right" vertical="center" wrapText="1"/>
    </xf>
    <xf numFmtId="164" fontId="21" fillId="3" borderId="1" xfId="2" applyFont="1" applyFill="1" applyBorder="1" applyAlignment="1" applyProtection="1">
      <alignment horizontal="right" vertical="center" wrapText="1"/>
    </xf>
    <xf numFmtId="0" fontId="3" fillId="2" borderId="0" xfId="0" applyFont="1" applyFill="1" applyAlignment="1" applyProtection="1">
      <alignment vertical="center"/>
      <protection locked="0"/>
    </xf>
    <xf numFmtId="166" fontId="21" fillId="3" borderId="1" xfId="1" applyNumberFormat="1" applyFont="1" applyFill="1" applyBorder="1" applyAlignment="1" applyProtection="1">
      <alignment horizontal="right" vertical="center" wrapText="1"/>
    </xf>
    <xf numFmtId="0" fontId="57" fillId="26" borderId="1" xfId="0" applyFont="1" applyFill="1" applyBorder="1" applyAlignment="1" applyProtection="1">
      <alignment horizontal="center" vertical="center" wrapText="1"/>
      <protection locked="0"/>
    </xf>
    <xf numFmtId="164" fontId="21" fillId="0" borderId="1" xfId="2" applyFont="1" applyBorder="1" applyAlignment="1" applyProtection="1">
      <alignment horizontal="right" vertical="center" wrapText="1"/>
      <protection locked="0"/>
    </xf>
    <xf numFmtId="0" fontId="66" fillId="28" borderId="0" xfId="0" applyFont="1" applyFill="1" applyAlignment="1">
      <alignment horizontal="right" vertical="center" wrapText="1" shrinkToFit="1" readingOrder="1"/>
    </xf>
    <xf numFmtId="0" fontId="67" fillId="31" borderId="0" xfId="0" applyFont="1" applyFill="1" applyAlignment="1">
      <alignment horizontal="right" vertical="center" wrapText="1" shrinkToFit="1" readingOrder="1"/>
    </xf>
    <xf numFmtId="4" fontId="67" fillId="31" borderId="0" xfId="0" applyNumberFormat="1" applyFont="1" applyFill="1" applyAlignment="1">
      <alignment horizontal="right" vertical="center" wrapText="1" shrinkToFit="1" readingOrder="1"/>
    </xf>
    <xf numFmtId="0" fontId="67" fillId="0" borderId="0" xfId="0" applyFont="1" applyAlignment="1">
      <alignment horizontal="right" vertical="center" wrapText="1" shrinkToFit="1" readingOrder="1"/>
    </xf>
    <xf numFmtId="4" fontId="67" fillId="0" borderId="0" xfId="0" applyNumberFormat="1" applyFont="1" applyAlignment="1">
      <alignment horizontal="right" vertical="center" wrapText="1" shrinkToFit="1" readingOrder="1"/>
    </xf>
    <xf numFmtId="0" fontId="68" fillId="0" borderId="0" xfId="0" applyFont="1" applyAlignment="1">
      <alignment horizontal="right" vertical="center" wrapText="1" shrinkToFit="1" readingOrder="1"/>
    </xf>
    <xf numFmtId="4" fontId="68" fillId="0" borderId="0" xfId="0" applyNumberFormat="1" applyFont="1" applyAlignment="1">
      <alignment horizontal="right" vertical="center" wrapText="1" shrinkToFit="1" readingOrder="1"/>
    </xf>
    <xf numFmtId="0" fontId="68" fillId="31" borderId="0" xfId="0" applyFont="1" applyFill="1" applyAlignment="1">
      <alignment horizontal="right" vertical="center" wrapText="1" shrinkToFit="1" readingOrder="1"/>
    </xf>
    <xf numFmtId="4" fontId="68" fillId="31" borderId="0" xfId="0" applyNumberFormat="1" applyFont="1" applyFill="1" applyAlignment="1">
      <alignment horizontal="right" vertical="center" wrapText="1" shrinkToFit="1" readingOrder="1"/>
    </xf>
    <xf numFmtId="43" fontId="22" fillId="0" borderId="0" xfId="0" applyNumberFormat="1" applyFont="1" applyAlignment="1">
      <alignment horizontal="center" vertical="center"/>
    </xf>
    <xf numFmtId="43" fontId="3" fillId="0" borderId="0" xfId="0" applyNumberFormat="1" applyFont="1" applyAlignment="1" applyProtection="1">
      <alignment vertical="center" wrapText="1"/>
      <protection locked="0"/>
    </xf>
    <xf numFmtId="164" fontId="2" fillId="33" borderId="1" xfId="2" applyFont="1" applyFill="1" applyBorder="1" applyAlignment="1" applyProtection="1">
      <alignment horizontal="right" vertical="center" wrapText="1"/>
      <protection locked="0"/>
    </xf>
    <xf numFmtId="164" fontId="2" fillId="33" borderId="1" xfId="0" applyNumberFormat="1" applyFont="1" applyFill="1" applyBorder="1" applyAlignment="1">
      <alignment horizontal="right" vertical="center" wrapText="1"/>
    </xf>
    <xf numFmtId="0" fontId="78" fillId="28" borderId="0" xfId="0" applyFont="1" applyFill="1" applyAlignment="1">
      <alignment horizontal="left" vertical="center" wrapText="1" shrinkToFit="1" readingOrder="1"/>
    </xf>
    <xf numFmtId="0" fontId="78" fillId="28" borderId="0" xfId="0" applyFont="1" applyFill="1" applyAlignment="1">
      <alignment horizontal="right" vertical="center" wrapText="1" shrinkToFit="1" readingOrder="1"/>
    </xf>
    <xf numFmtId="4" fontId="79" fillId="31" borderId="0" xfId="0" applyNumberFormat="1" applyFont="1" applyFill="1" applyAlignment="1">
      <alignment horizontal="right" vertical="center" wrapText="1" shrinkToFit="1" readingOrder="1"/>
    </xf>
    <xf numFmtId="4" fontId="79" fillId="0" borderId="0" xfId="0" applyNumberFormat="1" applyFont="1" applyAlignment="1">
      <alignment horizontal="right" vertical="center" wrapText="1" shrinkToFit="1" readingOrder="1"/>
    </xf>
    <xf numFmtId="0" fontId="81" fillId="32" borderId="0" xfId="0" applyFont="1" applyFill="1" applyAlignment="1">
      <alignment horizontal="right" vertical="center" readingOrder="1"/>
    </xf>
    <xf numFmtId="0" fontId="81" fillId="32" borderId="0" xfId="0" applyFont="1" applyFill="1" applyAlignment="1">
      <alignment horizontal="right" vertical="center" wrapText="1" shrinkToFit="1" readingOrder="1"/>
    </xf>
    <xf numFmtId="0" fontId="42" fillId="0" borderId="16" xfId="0" applyFont="1" applyBorder="1" applyAlignment="1">
      <alignment horizontal="left" vertical="center" wrapText="1"/>
    </xf>
    <xf numFmtId="0" fontId="42" fillId="0" borderId="53" xfId="0" applyFont="1" applyBorder="1" applyAlignment="1">
      <alignment horizontal="left" vertical="center" wrapText="1"/>
    </xf>
    <xf numFmtId="0" fontId="42" fillId="0" borderId="54" xfId="0" applyFont="1" applyBorder="1" applyAlignment="1">
      <alignment horizontal="left" vertical="center" wrapText="1"/>
    </xf>
    <xf numFmtId="0" fontId="42" fillId="5" borderId="5" xfId="0" applyFont="1" applyFill="1" applyBorder="1" applyAlignment="1">
      <alignment horizontal="center" vertical="center"/>
    </xf>
    <xf numFmtId="0" fontId="42" fillId="5" borderId="0" xfId="0" applyFont="1" applyFill="1" applyAlignment="1">
      <alignment horizontal="center" vertical="center"/>
    </xf>
    <xf numFmtId="0" fontId="42" fillId="5" borderId="6" xfId="0" applyFont="1" applyFill="1" applyBorder="1" applyAlignment="1">
      <alignment horizontal="center" vertical="center"/>
    </xf>
    <xf numFmtId="0" fontId="42" fillId="5" borderId="7" xfId="0" applyFont="1" applyFill="1" applyBorder="1" applyAlignment="1">
      <alignment horizontal="center" vertical="center"/>
    </xf>
    <xf numFmtId="0" fontId="42" fillId="5" borderId="49" xfId="0" applyFont="1" applyFill="1" applyBorder="1" applyAlignment="1">
      <alignment horizontal="center" vertical="center"/>
    </xf>
    <xf numFmtId="0" fontId="42" fillId="5" borderId="55" xfId="0" applyFont="1" applyFill="1" applyBorder="1" applyAlignment="1">
      <alignment horizontal="center" vertical="center"/>
    </xf>
    <xf numFmtId="0" fontId="42" fillId="0" borderId="7" xfId="0" applyFont="1" applyBorder="1" applyAlignment="1">
      <alignment horizontal="left" vertical="center" wrapText="1"/>
    </xf>
    <xf numFmtId="0" fontId="42" fillId="0" borderId="49" xfId="0" applyFont="1" applyBorder="1" applyAlignment="1">
      <alignment horizontal="left" vertical="center" wrapText="1"/>
    </xf>
    <xf numFmtId="0" fontId="42" fillId="0" borderId="55" xfId="0" applyFont="1" applyBorder="1" applyAlignment="1">
      <alignment horizontal="left" vertical="center" wrapText="1"/>
    </xf>
    <xf numFmtId="166" fontId="22" fillId="2" borderId="0" xfId="1" applyNumberFormat="1" applyFont="1" applyFill="1" applyBorder="1" applyAlignment="1" applyProtection="1">
      <alignment horizontal="center" vertical="center" wrapText="1"/>
    </xf>
    <xf numFmtId="2" fontId="22" fillId="2" borderId="0" xfId="1" applyNumberFormat="1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170" fontId="22" fillId="2" borderId="0" xfId="1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horizontal="center" wrapText="1"/>
      <protection locked="0"/>
    </xf>
    <xf numFmtId="0" fontId="22" fillId="0" borderId="30" xfId="0" applyFont="1" applyBorder="1" applyAlignment="1" applyProtection="1">
      <alignment horizontal="center" vertical="center" wrapText="1"/>
      <protection locked="0"/>
    </xf>
    <xf numFmtId="166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top" wrapText="1"/>
      <protection locked="0"/>
    </xf>
    <xf numFmtId="166" fontId="22" fillId="0" borderId="1" xfId="1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3" fillId="11" borderId="24" xfId="0" applyFont="1" applyFill="1" applyBorder="1" applyAlignment="1" applyProtection="1">
      <alignment horizontal="left" vertical="center" wrapText="1"/>
      <protection locked="0"/>
    </xf>
    <xf numFmtId="0" fontId="23" fillId="11" borderId="25" xfId="0" applyFont="1" applyFill="1" applyBorder="1" applyAlignment="1" applyProtection="1">
      <alignment horizontal="left" vertical="center" wrapText="1"/>
      <protection locked="0"/>
    </xf>
    <xf numFmtId="0" fontId="23" fillId="11" borderId="33" xfId="0" applyFont="1" applyFill="1" applyBorder="1" applyAlignment="1" applyProtection="1">
      <alignment horizontal="left" vertical="center" wrapText="1"/>
      <protection locked="0"/>
    </xf>
    <xf numFmtId="0" fontId="23" fillId="11" borderId="26" xfId="0" applyFont="1" applyFill="1" applyBorder="1" applyAlignment="1" applyProtection="1">
      <alignment horizontal="left" vertical="center" wrapText="1"/>
      <protection locked="0"/>
    </xf>
    <xf numFmtId="0" fontId="23" fillId="11" borderId="18" xfId="0" applyFont="1" applyFill="1" applyBorder="1" applyAlignment="1" applyProtection="1">
      <alignment horizontal="center" vertical="center" wrapText="1"/>
      <protection locked="0"/>
    </xf>
    <xf numFmtId="0" fontId="23" fillId="11" borderId="20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Border="1" applyAlignment="1" applyProtection="1">
      <alignment horizontal="left" vertical="center" wrapText="1"/>
      <protection locked="0"/>
    </xf>
    <xf numFmtId="0" fontId="22" fillId="0" borderId="31" xfId="0" applyFont="1" applyBorder="1" applyAlignment="1" applyProtection="1">
      <alignment horizontal="left" vertical="center" wrapText="1"/>
      <protection locked="0"/>
    </xf>
    <xf numFmtId="0" fontId="22" fillId="0" borderId="29" xfId="0" applyFont="1" applyBorder="1" applyAlignment="1" applyProtection="1">
      <alignment horizontal="center" vertical="center" wrapText="1"/>
      <protection locked="0"/>
    </xf>
    <xf numFmtId="0" fontId="22" fillId="0" borderId="32" xfId="0" applyFont="1" applyBorder="1" applyAlignment="1" applyProtection="1">
      <alignment horizontal="center" vertical="center" wrapText="1"/>
      <protection locked="0"/>
    </xf>
    <xf numFmtId="0" fontId="23" fillId="11" borderId="1" xfId="0" applyFont="1" applyFill="1" applyBorder="1" applyAlignment="1" applyProtection="1">
      <alignment horizontal="left" vertical="center" wrapText="1"/>
      <protection locked="0"/>
    </xf>
    <xf numFmtId="0" fontId="23" fillId="11" borderId="1" xfId="0" applyFont="1" applyFill="1" applyBorder="1" applyAlignment="1" applyProtection="1">
      <alignment horizontal="center" vertical="center" wrapText="1"/>
      <protection locked="0"/>
    </xf>
    <xf numFmtId="166" fontId="3" fillId="2" borderId="1" xfId="1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 applyProtection="1">
      <alignment horizontal="left" vertical="center" wrapText="1"/>
      <protection locked="0"/>
    </xf>
    <xf numFmtId="0" fontId="22" fillId="2" borderId="1" xfId="0" applyFont="1" applyFill="1" applyBorder="1" applyAlignment="1" applyProtection="1">
      <alignment horizontal="center" wrapText="1"/>
      <protection locked="0"/>
    </xf>
    <xf numFmtId="0" fontId="2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2" fillId="2" borderId="11" xfId="0" applyFont="1" applyFill="1" applyBorder="1" applyAlignment="1" applyProtection="1">
      <alignment horizontal="center" vertical="center" wrapText="1"/>
      <protection locked="0"/>
    </xf>
    <xf numFmtId="0" fontId="22" fillId="2" borderId="3" xfId="0" applyFont="1" applyFill="1" applyBorder="1" applyAlignment="1" applyProtection="1">
      <alignment horizontal="center" vertical="center" wrapText="1"/>
      <protection locked="0"/>
    </xf>
    <xf numFmtId="0" fontId="22" fillId="6" borderId="1" xfId="3" applyFont="1" applyFill="1" applyBorder="1" applyAlignment="1" applyProtection="1">
      <alignment horizontal="left" vertical="center" wrapText="1"/>
      <protection locked="0"/>
    </xf>
    <xf numFmtId="0" fontId="22" fillId="0" borderId="59" xfId="0" applyFont="1" applyBorder="1" applyAlignment="1" applyProtection="1">
      <alignment horizontal="center" vertical="center" wrapText="1"/>
      <protection locked="0"/>
    </xf>
    <xf numFmtId="166" fontId="22" fillId="2" borderId="1" xfId="1" applyNumberFormat="1" applyFont="1" applyFill="1" applyBorder="1" applyAlignment="1">
      <alignment horizontal="center" vertical="center" wrapText="1"/>
    </xf>
    <xf numFmtId="0" fontId="22" fillId="2" borderId="1" xfId="3" applyFont="1" applyFill="1" applyBorder="1" applyAlignment="1" applyProtection="1">
      <alignment horizontal="left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3" fillId="11" borderId="1" xfId="0" applyFont="1" applyFill="1" applyBorder="1" applyAlignment="1" applyProtection="1">
      <alignment horizontal="left" vertical="center"/>
      <protection locked="0"/>
    </xf>
    <xf numFmtId="0" fontId="48" fillId="20" borderId="5" xfId="0" applyFont="1" applyFill="1" applyBorder="1" applyAlignment="1">
      <alignment horizontal="center" vertical="center" wrapText="1"/>
    </xf>
    <xf numFmtId="0" fontId="48" fillId="20" borderId="0" xfId="0" applyFont="1" applyFill="1" applyAlignment="1">
      <alignment horizontal="center" vertical="center" wrapText="1"/>
    </xf>
    <xf numFmtId="0" fontId="48" fillId="20" borderId="6" xfId="0" applyFont="1" applyFill="1" applyBorder="1" applyAlignment="1">
      <alignment horizontal="center" vertical="center" wrapText="1"/>
    </xf>
    <xf numFmtId="0" fontId="48" fillId="20" borderId="7" xfId="0" applyFont="1" applyFill="1" applyBorder="1" applyAlignment="1">
      <alignment horizontal="center" vertical="center" wrapText="1"/>
    </xf>
    <xf numFmtId="0" fontId="48" fillId="20" borderId="49" xfId="0" applyFont="1" applyFill="1" applyBorder="1" applyAlignment="1">
      <alignment horizontal="center" vertical="center" wrapText="1"/>
    </xf>
    <xf numFmtId="0" fontId="48" fillId="20" borderId="55" xfId="0" applyFont="1" applyFill="1" applyBorder="1" applyAlignment="1">
      <alignment horizontal="center" vertical="center" wrapText="1"/>
    </xf>
    <xf numFmtId="166" fontId="22" fillId="0" borderId="0" xfId="1" applyNumberFormat="1" applyFont="1" applyBorder="1" applyAlignment="1" applyProtection="1">
      <alignment horizontal="center" vertical="center" wrapText="1"/>
    </xf>
    <xf numFmtId="0" fontId="23" fillId="11" borderId="11" xfId="0" applyFont="1" applyFill="1" applyBorder="1" applyAlignment="1">
      <alignment horizontal="center" vertical="center" wrapText="1"/>
    </xf>
    <xf numFmtId="0" fontId="23" fillId="11" borderId="8" xfId="0" applyFont="1" applyFill="1" applyBorder="1" applyAlignment="1">
      <alignment horizontal="center" vertical="center" wrapText="1"/>
    </xf>
    <xf numFmtId="0" fontId="23" fillId="11" borderId="17" xfId="0" applyFont="1" applyFill="1" applyBorder="1" applyAlignment="1" applyProtection="1">
      <alignment horizontal="left" vertical="center" wrapText="1"/>
      <protection locked="0"/>
    </xf>
    <xf numFmtId="0" fontId="23" fillId="11" borderId="0" xfId="0" applyFont="1" applyFill="1" applyAlignment="1" applyProtection="1">
      <alignment horizontal="left" vertical="center" wrapText="1"/>
      <protection locked="0"/>
    </xf>
    <xf numFmtId="0" fontId="48" fillId="20" borderId="5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3" fillId="11" borderId="2" xfId="0" applyFont="1" applyFill="1" applyBorder="1" applyAlignment="1" applyProtection="1">
      <alignment horizontal="left" vertical="center" wrapText="1"/>
      <protection locked="0"/>
    </xf>
    <xf numFmtId="0" fontId="23" fillId="11" borderId="48" xfId="0" applyFont="1" applyFill="1" applyBorder="1" applyAlignment="1" applyProtection="1">
      <alignment horizontal="left" vertical="center" wrapText="1"/>
      <protection locked="0"/>
    </xf>
    <xf numFmtId="0" fontId="23" fillId="11" borderId="56" xfId="0" applyFont="1" applyFill="1" applyBorder="1" applyAlignment="1">
      <alignment horizontal="center" vertical="center" wrapText="1"/>
    </xf>
    <xf numFmtId="0" fontId="23" fillId="11" borderId="4" xfId="0" applyFont="1" applyFill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3" fillId="11" borderId="21" xfId="0" applyFont="1" applyFill="1" applyBorder="1" applyAlignment="1">
      <alignment horizontal="right" vertical="center" wrapText="1"/>
    </xf>
    <xf numFmtId="0" fontId="23" fillId="11" borderId="22" xfId="0" applyFont="1" applyFill="1" applyBorder="1" applyAlignment="1">
      <alignment horizontal="right" vertical="center" wrapText="1"/>
    </xf>
    <xf numFmtId="0" fontId="23" fillId="11" borderId="15" xfId="0" applyFont="1" applyFill="1" applyBorder="1" applyAlignment="1">
      <alignment horizontal="center" vertical="center" wrapText="1"/>
    </xf>
    <xf numFmtId="0" fontId="23" fillId="11" borderId="10" xfId="0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 wrapText="1"/>
    </xf>
    <xf numFmtId="0" fontId="23" fillId="11" borderId="11" xfId="0" applyFont="1" applyFill="1" applyBorder="1" applyAlignment="1" applyProtection="1">
      <alignment horizontal="left" vertical="center" wrapText="1"/>
      <protection locked="0"/>
    </xf>
    <xf numFmtId="0" fontId="23" fillId="11" borderId="8" xfId="0" applyFont="1" applyFill="1" applyBorder="1" applyAlignment="1" applyProtection="1">
      <alignment horizontal="left" vertical="center" wrapText="1"/>
      <protection locked="0"/>
    </xf>
    <xf numFmtId="0" fontId="23" fillId="11" borderId="3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27" fillId="2" borderId="13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41" fontId="23" fillId="11" borderId="48" xfId="0" applyNumberFormat="1" applyFont="1" applyFill="1" applyBorder="1" applyAlignment="1">
      <alignment horizontal="center" vertical="center" wrapText="1"/>
    </xf>
    <xf numFmtId="41" fontId="23" fillId="11" borderId="4" xfId="0" applyNumberFormat="1" applyFont="1" applyFill="1" applyBorder="1" applyAlignment="1">
      <alignment horizontal="center" vertical="center" wrapText="1"/>
    </xf>
    <xf numFmtId="0" fontId="23" fillId="11" borderId="11" xfId="0" applyFont="1" applyFill="1" applyBorder="1" applyAlignment="1" applyProtection="1">
      <alignment horizontal="left" vertical="center"/>
      <protection locked="0"/>
    </xf>
    <xf numFmtId="0" fontId="23" fillId="11" borderId="8" xfId="0" applyFont="1" applyFill="1" applyBorder="1" applyAlignment="1" applyProtection="1">
      <alignment horizontal="left" vertical="center"/>
      <protection locked="0"/>
    </xf>
    <xf numFmtId="0" fontId="23" fillId="11" borderId="3" xfId="0" applyFont="1" applyFill="1" applyBorder="1" applyAlignment="1" applyProtection="1">
      <alignment horizontal="left" vertical="center"/>
      <protection locked="0"/>
    </xf>
    <xf numFmtId="0" fontId="23" fillId="11" borderId="12" xfId="0" applyFont="1" applyFill="1" applyBorder="1" applyAlignment="1">
      <alignment horizontal="center" vertical="center" wrapText="1"/>
    </xf>
    <xf numFmtId="0" fontId="23" fillId="11" borderId="14" xfId="0" applyFont="1" applyFill="1" applyBorder="1" applyAlignment="1">
      <alignment horizontal="center" vertical="center" wrapText="1"/>
    </xf>
    <xf numFmtId="0" fontId="23" fillId="11" borderId="18" xfId="0" applyFont="1" applyFill="1" applyBorder="1" applyAlignment="1">
      <alignment horizontal="center" vertical="center" wrapText="1"/>
    </xf>
    <xf numFmtId="0" fontId="23" fillId="11" borderId="20" xfId="0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left" vertical="center" wrapText="1"/>
    </xf>
    <xf numFmtId="165" fontId="23" fillId="11" borderId="1" xfId="0" applyNumberFormat="1" applyFont="1" applyFill="1" applyBorder="1" applyAlignment="1">
      <alignment horizontal="center" vertical="center" wrapText="1"/>
    </xf>
    <xf numFmtId="0" fontId="48" fillId="20" borderId="12" xfId="0" applyFont="1" applyFill="1" applyBorder="1" applyAlignment="1">
      <alignment horizontal="center" vertical="center" wrapText="1"/>
    </xf>
    <xf numFmtId="0" fontId="48" fillId="20" borderId="13" xfId="0" applyFont="1" applyFill="1" applyBorder="1" applyAlignment="1">
      <alignment horizontal="center" vertical="center" wrapText="1"/>
    </xf>
    <xf numFmtId="0" fontId="48" fillId="20" borderId="14" xfId="0" applyFont="1" applyFill="1" applyBorder="1" applyAlignment="1">
      <alignment horizontal="center" vertical="center" wrapText="1"/>
    </xf>
    <xf numFmtId="0" fontId="48" fillId="20" borderId="17" xfId="0" applyFont="1" applyFill="1" applyBorder="1" applyAlignment="1">
      <alignment horizontal="center" vertical="center" wrapText="1"/>
    </xf>
    <xf numFmtId="0" fontId="48" fillId="20" borderId="57" xfId="0" applyFont="1" applyFill="1" applyBorder="1" applyAlignment="1">
      <alignment horizontal="center" vertical="center" wrapText="1"/>
    </xf>
    <xf numFmtId="0" fontId="48" fillId="20" borderId="18" xfId="0" applyFont="1" applyFill="1" applyBorder="1" applyAlignment="1">
      <alignment horizontal="center" vertical="center" wrapText="1"/>
    </xf>
    <xf numFmtId="0" fontId="48" fillId="20" borderId="19" xfId="0" applyFont="1" applyFill="1" applyBorder="1" applyAlignment="1">
      <alignment horizontal="center" vertical="center" wrapText="1"/>
    </xf>
    <xf numFmtId="0" fontId="48" fillId="20" borderId="20" xfId="0" applyFont="1" applyFill="1" applyBorder="1" applyAlignment="1">
      <alignment horizontal="center" vertical="center" wrapText="1"/>
    </xf>
    <xf numFmtId="169" fontId="2" fillId="23" borderId="48" xfId="2" applyNumberFormat="1" applyFont="1" applyFill="1" applyBorder="1" applyAlignment="1" applyProtection="1">
      <alignment horizontal="center" vertical="center" wrapText="1"/>
    </xf>
    <xf numFmtId="169" fontId="2" fillId="23" borderId="4" xfId="2" applyNumberFormat="1" applyFont="1" applyFill="1" applyBorder="1" applyAlignment="1" applyProtection="1">
      <alignment horizontal="center" vertical="center" wrapText="1"/>
    </xf>
    <xf numFmtId="49" fontId="2" fillId="23" borderId="48" xfId="2" applyNumberFormat="1" applyFont="1" applyFill="1" applyBorder="1" applyAlignment="1" applyProtection="1">
      <alignment horizontal="center" vertical="center" wrapText="1"/>
    </xf>
    <xf numFmtId="49" fontId="2" fillId="23" borderId="4" xfId="2" applyNumberFormat="1" applyFont="1" applyFill="1" applyBorder="1" applyAlignment="1" applyProtection="1">
      <alignment horizontal="center" vertical="center" wrapText="1"/>
    </xf>
    <xf numFmtId="0" fontId="23" fillId="11" borderId="1" xfId="0" applyFont="1" applyFill="1" applyBorder="1" applyAlignment="1">
      <alignment horizontal="center" vertical="center" textRotation="90"/>
    </xf>
    <xf numFmtId="0" fontId="2" fillId="7" borderId="1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41" fontId="23" fillId="11" borderId="1" xfId="0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2" borderId="50" xfId="0" applyFont="1" applyFill="1" applyBorder="1" applyAlignment="1" applyProtection="1">
      <alignment horizontal="center" vertical="center" wrapText="1"/>
      <protection locked="0"/>
    </xf>
    <xf numFmtId="0" fontId="2" fillId="12" borderId="51" xfId="0" applyFont="1" applyFill="1" applyBorder="1" applyAlignment="1" applyProtection="1">
      <alignment horizontal="center" vertical="center" wrapText="1"/>
      <protection locked="0"/>
    </xf>
    <xf numFmtId="0" fontId="2" fillId="12" borderId="52" xfId="0" applyFont="1" applyFill="1" applyBorder="1" applyAlignment="1" applyProtection="1">
      <alignment horizontal="center" vertical="center" wrapText="1"/>
      <protection locked="0"/>
    </xf>
    <xf numFmtId="0" fontId="2" fillId="12" borderId="5" xfId="0" applyFont="1" applyFill="1" applyBorder="1" applyAlignment="1" applyProtection="1">
      <alignment horizontal="center" vertical="center" wrapText="1"/>
      <protection locked="0"/>
    </xf>
    <xf numFmtId="0" fontId="2" fillId="12" borderId="0" xfId="0" applyFont="1" applyFill="1" applyAlignment="1" applyProtection="1">
      <alignment horizontal="center" vertical="center" wrapText="1"/>
      <protection locked="0"/>
    </xf>
    <xf numFmtId="0" fontId="2" fillId="12" borderId="6" xfId="0" applyFont="1" applyFill="1" applyBorder="1" applyAlignment="1" applyProtection="1">
      <alignment horizontal="center" vertical="center" wrapText="1"/>
      <protection locked="0"/>
    </xf>
    <xf numFmtId="0" fontId="2" fillId="12" borderId="7" xfId="0" applyFont="1" applyFill="1" applyBorder="1" applyAlignment="1" applyProtection="1">
      <alignment horizontal="center" vertical="center" wrapText="1"/>
      <protection locked="0"/>
    </xf>
    <xf numFmtId="0" fontId="2" fillId="12" borderId="49" xfId="0" applyFont="1" applyFill="1" applyBorder="1" applyAlignment="1" applyProtection="1">
      <alignment horizontal="center" vertical="center" wrapText="1"/>
      <protection locked="0"/>
    </xf>
    <xf numFmtId="0" fontId="2" fillId="12" borderId="55" xfId="0" applyFont="1" applyFill="1" applyBorder="1" applyAlignment="1" applyProtection="1">
      <alignment horizontal="center" vertical="center" wrapText="1"/>
      <protection locked="0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23" fillId="11" borderId="3" xfId="0" applyFont="1" applyFill="1" applyBorder="1" applyAlignment="1">
      <alignment horizontal="center" vertical="center" textRotation="90"/>
    </xf>
    <xf numFmtId="0" fontId="21" fillId="2" borderId="1" xfId="0" applyFont="1" applyFill="1" applyBorder="1" applyAlignment="1">
      <alignment horizontal="left" vertical="center"/>
    </xf>
    <xf numFmtId="41" fontId="2" fillId="2" borderId="1" xfId="0" applyNumberFormat="1" applyFont="1" applyFill="1" applyBorder="1" applyAlignment="1">
      <alignment horizontal="left" vertical="center" wrapText="1"/>
    </xf>
    <xf numFmtId="41" fontId="23" fillId="11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3" fillId="14" borderId="17" xfId="0" applyFont="1" applyFill="1" applyBorder="1" applyAlignment="1">
      <alignment horizontal="center" vertical="center" wrapText="1"/>
    </xf>
    <xf numFmtId="0" fontId="23" fillId="14" borderId="6" xfId="0" applyFont="1" applyFill="1" applyBorder="1" applyAlignment="1">
      <alignment horizontal="center" vertical="center" wrapText="1"/>
    </xf>
    <xf numFmtId="49" fontId="20" fillId="14" borderId="45" xfId="2" applyNumberFormat="1" applyFont="1" applyFill="1" applyBorder="1" applyAlignment="1">
      <alignment horizontal="center" vertical="center"/>
    </xf>
    <xf numFmtId="49" fontId="20" fillId="14" borderId="40" xfId="2" applyNumberFormat="1" applyFont="1" applyFill="1" applyBorder="1" applyAlignment="1">
      <alignment horizontal="center" vertical="center"/>
    </xf>
    <xf numFmtId="49" fontId="20" fillId="14" borderId="45" xfId="2" applyNumberFormat="1" applyFont="1" applyFill="1" applyBorder="1" applyAlignment="1">
      <alignment horizontal="center" vertical="center" wrapText="1"/>
    </xf>
    <xf numFmtId="164" fontId="20" fillId="14" borderId="42" xfId="2" applyFont="1" applyFill="1" applyBorder="1" applyAlignment="1">
      <alignment horizontal="center" vertical="center"/>
    </xf>
    <xf numFmtId="164" fontId="20" fillId="14" borderId="46" xfId="2" applyFont="1" applyFill="1" applyBorder="1" applyAlignment="1">
      <alignment horizontal="center" vertical="center"/>
    </xf>
    <xf numFmtId="164" fontId="20" fillId="14" borderId="47" xfId="2" applyFont="1" applyFill="1" applyBorder="1" applyAlignment="1">
      <alignment horizontal="center" vertical="center"/>
    </xf>
    <xf numFmtId="164" fontId="20" fillId="14" borderId="36" xfId="2" applyFont="1" applyFill="1" applyBorder="1" applyAlignment="1">
      <alignment horizontal="center" vertical="center"/>
    </xf>
    <xf numFmtId="164" fontId="20" fillId="14" borderId="43" xfId="2" applyFont="1" applyFill="1" applyBorder="1" applyAlignment="1">
      <alignment horizontal="center" vertical="center"/>
    </xf>
    <xf numFmtId="164" fontId="20" fillId="14" borderId="44" xfId="2" applyFont="1" applyFill="1" applyBorder="1" applyAlignment="1">
      <alignment horizontal="center" vertical="center"/>
    </xf>
    <xf numFmtId="9" fontId="20" fillId="14" borderId="35" xfId="1" applyFont="1" applyFill="1" applyBorder="1" applyAlignment="1">
      <alignment horizontal="center" vertical="center"/>
    </xf>
    <xf numFmtId="49" fontId="20" fillId="14" borderId="35" xfId="2" applyNumberFormat="1" applyFont="1" applyFill="1" applyBorder="1" applyAlignment="1">
      <alignment horizontal="center" vertical="center"/>
    </xf>
    <xf numFmtId="168" fontId="20" fillId="14" borderId="42" xfId="2" applyNumberFormat="1" applyFont="1" applyFill="1" applyBorder="1" applyAlignment="1">
      <alignment horizontal="center" vertical="center" wrapText="1"/>
    </xf>
    <xf numFmtId="168" fontId="20" fillId="14" borderId="36" xfId="2" applyNumberFormat="1" applyFont="1" applyFill="1" applyBorder="1" applyAlignment="1">
      <alignment horizontal="center" vertical="center" wrapText="1"/>
    </xf>
    <xf numFmtId="0" fontId="20" fillId="14" borderId="35" xfId="0" applyFont="1" applyFill="1" applyBorder="1" applyAlignment="1">
      <alignment horizontal="center" vertical="center"/>
    </xf>
    <xf numFmtId="168" fontId="20" fillId="14" borderId="0" xfId="2" applyNumberFormat="1" applyFont="1" applyFill="1" applyBorder="1" applyAlignment="1">
      <alignment horizontal="center" vertical="center" wrapText="1"/>
    </xf>
    <xf numFmtId="0" fontId="21" fillId="10" borderId="1" xfId="11" applyFont="1" applyFill="1" applyBorder="1" applyAlignment="1">
      <alignment horizontal="left" vertical="center" wrapText="1" readingOrder="1"/>
    </xf>
    <xf numFmtId="0" fontId="23" fillId="11" borderId="1" xfId="11" applyFont="1" applyFill="1" applyBorder="1" applyAlignment="1">
      <alignment horizontal="right"/>
    </xf>
    <xf numFmtId="0" fontId="23" fillId="11" borderId="1" xfId="11" applyFont="1" applyFill="1" applyBorder="1" applyAlignment="1">
      <alignment horizontal="center" vertical="center" wrapText="1"/>
    </xf>
    <xf numFmtId="0" fontId="23" fillId="11" borderId="1" xfId="11" applyFont="1" applyFill="1" applyBorder="1" applyAlignment="1">
      <alignment horizontal="center" vertical="center" wrapText="1" readingOrder="1"/>
    </xf>
    <xf numFmtId="0" fontId="23" fillId="11" borderId="48" xfId="11" applyFont="1" applyFill="1" applyBorder="1" applyAlignment="1">
      <alignment horizontal="center" vertical="center" wrapText="1" readingOrder="1"/>
    </xf>
    <xf numFmtId="41" fontId="23" fillId="11" borderId="1" xfId="11" applyNumberFormat="1" applyFont="1" applyFill="1" applyBorder="1" applyAlignment="1">
      <alignment horizontal="center" vertical="center" wrapText="1"/>
    </xf>
    <xf numFmtId="41" fontId="23" fillId="11" borderId="48" xfId="11" applyNumberFormat="1" applyFont="1" applyFill="1" applyBorder="1" applyAlignment="1">
      <alignment horizontal="center" vertical="center" wrapText="1"/>
    </xf>
    <xf numFmtId="0" fontId="21" fillId="8" borderId="1" xfId="11" applyFont="1" applyFill="1" applyBorder="1" applyAlignment="1">
      <alignment horizontal="left" vertical="center" readingOrder="1"/>
    </xf>
    <xf numFmtId="0" fontId="21" fillId="9" borderId="1" xfId="11" applyFont="1" applyFill="1" applyBorder="1" applyAlignment="1">
      <alignment horizontal="left" vertical="center" wrapText="1" readingOrder="1"/>
    </xf>
    <xf numFmtId="49" fontId="68" fillId="31" borderId="0" xfId="0" applyNumberFormat="1" applyFont="1" applyFill="1" applyAlignment="1">
      <alignment horizontal="left" vertical="center" wrapText="1" shrinkToFit="1" readingOrder="1"/>
    </xf>
    <xf numFmtId="0" fontId="68" fillId="31" borderId="0" xfId="0" applyFont="1" applyFill="1" applyAlignment="1">
      <alignment horizontal="right" vertical="center" wrapText="1" shrinkToFit="1" readingOrder="1"/>
    </xf>
    <xf numFmtId="4" fontId="68" fillId="31" borderId="0" xfId="0" applyNumberFormat="1" applyFont="1" applyFill="1" applyAlignment="1">
      <alignment horizontal="right" vertical="center" wrapText="1" shrinkToFit="1" readingOrder="1"/>
    </xf>
    <xf numFmtId="0" fontId="82" fillId="0" borderId="0" xfId="0" applyFont="1" applyAlignment="1">
      <alignment horizontal="left" vertical="center" wrapText="1" shrinkToFit="1" readingOrder="1"/>
    </xf>
    <xf numFmtId="49" fontId="69" fillId="0" borderId="0" xfId="0" applyNumberFormat="1" applyFont="1" applyAlignment="1">
      <alignment horizontal="right" vertical="top" wrapText="1" shrinkToFit="1" readingOrder="1"/>
    </xf>
    <xf numFmtId="0" fontId="69" fillId="0" borderId="0" xfId="0" applyFont="1" applyAlignment="1">
      <alignment horizontal="left" vertical="top" wrapText="1" shrinkToFit="1" readingOrder="1"/>
    </xf>
    <xf numFmtId="49" fontId="68" fillId="0" borderId="0" xfId="0" applyNumberFormat="1" applyFont="1" applyAlignment="1">
      <alignment horizontal="left" vertical="center" wrapText="1" shrinkToFit="1" readingOrder="1"/>
    </xf>
    <xf numFmtId="0" fontId="68" fillId="0" borderId="0" xfId="0" applyFont="1" applyAlignment="1">
      <alignment horizontal="right" vertical="center" wrapText="1" shrinkToFit="1" readingOrder="1"/>
    </xf>
    <xf numFmtId="4" fontId="68" fillId="0" borderId="0" xfId="0" applyNumberFormat="1" applyFont="1" applyAlignment="1">
      <alignment horizontal="right" vertical="center" wrapText="1" shrinkToFit="1" readingOrder="1"/>
    </xf>
    <xf numFmtId="49" fontId="67" fillId="31" borderId="0" xfId="0" applyNumberFormat="1" applyFont="1" applyFill="1" applyAlignment="1">
      <alignment horizontal="left" vertical="center" wrapText="1" shrinkToFit="1" readingOrder="1"/>
    </xf>
    <xf numFmtId="0" fontId="67" fillId="31" borderId="0" xfId="0" applyFont="1" applyFill="1" applyAlignment="1">
      <alignment horizontal="right" vertical="center" wrapText="1" shrinkToFit="1" readingOrder="1"/>
    </xf>
    <xf numFmtId="4" fontId="67" fillId="31" borderId="0" xfId="0" applyNumberFormat="1" applyFont="1" applyFill="1" applyAlignment="1">
      <alignment horizontal="right" vertical="center" wrapText="1" shrinkToFit="1" readingOrder="1"/>
    </xf>
    <xf numFmtId="49" fontId="67" fillId="0" borderId="0" xfId="0" applyNumberFormat="1" applyFont="1" applyAlignment="1">
      <alignment horizontal="left" vertical="center" wrapText="1" shrinkToFit="1" readingOrder="1"/>
    </xf>
    <xf numFmtId="0" fontId="67" fillId="0" borderId="0" xfId="0" applyFont="1" applyAlignment="1">
      <alignment horizontal="right" vertical="center" wrapText="1" shrinkToFit="1" readingOrder="1"/>
    </xf>
    <xf numFmtId="4" fontId="67" fillId="0" borderId="0" xfId="0" applyNumberFormat="1" applyFont="1" applyAlignment="1">
      <alignment horizontal="right" vertical="center" wrapText="1" shrinkToFit="1" readingOrder="1"/>
    </xf>
    <xf numFmtId="0" fontId="66" fillId="28" borderId="0" xfId="0" applyFont="1" applyFill="1" applyAlignment="1">
      <alignment horizontal="left" vertical="center" wrapText="1" shrinkToFit="1" readingOrder="1"/>
    </xf>
    <xf numFmtId="0" fontId="66" fillId="28" borderId="0" xfId="0" applyFont="1" applyFill="1" applyAlignment="1">
      <alignment horizontal="right" vertical="center" wrapText="1" shrinkToFit="1" readingOrder="1"/>
    </xf>
    <xf numFmtId="0" fontId="65" fillId="0" borderId="0" xfId="0" applyFont="1" applyAlignment="1">
      <alignment horizontal="center" vertical="top" wrapText="1" shrinkToFit="1" readingOrder="1"/>
    </xf>
    <xf numFmtId="0" fontId="66" fillId="29" borderId="0" xfId="0" applyFont="1" applyFill="1" applyAlignment="1">
      <alignment horizontal="left" vertical="top" wrapText="1" shrinkToFit="1" readingOrder="1"/>
    </xf>
    <xf numFmtId="0" fontId="61" fillId="0" borderId="0" xfId="0" applyFont="1" applyAlignment="1">
      <alignment horizontal="left" vertical="top" wrapText="1" shrinkToFit="1" readingOrder="1"/>
    </xf>
    <xf numFmtId="0" fontId="63" fillId="0" borderId="0" xfId="0" applyFont="1" applyAlignment="1">
      <alignment horizontal="right" vertical="top" wrapText="1" shrinkToFit="1" readingOrder="1"/>
    </xf>
    <xf numFmtId="0" fontId="82" fillId="30" borderId="0" xfId="0" applyFont="1" applyFill="1" applyAlignment="1">
      <alignment horizontal="left" vertical="top" wrapText="1" shrinkToFit="1" readingOrder="1"/>
    </xf>
    <xf numFmtId="0" fontId="66" fillId="29" borderId="0" xfId="0" applyFont="1" applyFill="1" applyAlignment="1">
      <alignment horizontal="left" vertical="center" wrapText="1" shrinkToFit="1" readingOrder="1"/>
    </xf>
    <xf numFmtId="0" fontId="62" fillId="0" borderId="0" xfId="0" applyFont="1" applyAlignment="1">
      <alignment horizontal="left" vertical="top" wrapText="1" shrinkToFit="1" readingOrder="1"/>
    </xf>
    <xf numFmtId="0" fontId="82" fillId="28" borderId="0" xfId="0" applyFont="1" applyFill="1" applyAlignment="1">
      <alignment horizontal="left" vertical="top" wrapText="1" shrinkToFit="1" readingOrder="1"/>
    </xf>
    <xf numFmtId="0" fontId="64" fillId="0" borderId="0" xfId="0" applyFont="1" applyAlignment="1">
      <alignment horizontal="center" vertical="top" wrapText="1" shrinkToFit="1" readingOrder="1"/>
    </xf>
    <xf numFmtId="0" fontId="21" fillId="5" borderId="19" xfId="0" applyFont="1" applyFill="1" applyBorder="1" applyAlignment="1" applyProtection="1">
      <alignment horizontal="justify" vertical="center" wrapText="1"/>
      <protection locked="0"/>
    </xf>
    <xf numFmtId="0" fontId="21" fillId="5" borderId="0" xfId="0" applyFont="1" applyFill="1" applyAlignment="1" applyProtection="1">
      <alignment horizontal="justify" vertical="center" wrapText="1"/>
      <protection locked="0"/>
    </xf>
    <xf numFmtId="0" fontId="55" fillId="11" borderId="11" xfId="0" applyFont="1" applyFill="1" applyBorder="1" applyAlignment="1">
      <alignment horizontal="center" vertical="center" wrapText="1"/>
    </xf>
    <xf numFmtId="0" fontId="55" fillId="11" borderId="8" xfId="0" applyFont="1" applyFill="1" applyBorder="1" applyAlignment="1">
      <alignment horizontal="center" vertical="center" wrapText="1"/>
    </xf>
    <xf numFmtId="0" fontId="55" fillId="11" borderId="3" xfId="0" applyFont="1" applyFill="1" applyBorder="1" applyAlignment="1">
      <alignment horizontal="center" vertical="center" wrapText="1"/>
    </xf>
    <xf numFmtId="0" fontId="48" fillId="21" borderId="17" xfId="0" applyFont="1" applyFill="1" applyBorder="1" applyAlignment="1" applyProtection="1">
      <alignment horizontal="center" vertical="center" wrapText="1"/>
      <protection locked="0"/>
    </xf>
    <xf numFmtId="0" fontId="48" fillId="21" borderId="0" xfId="0" applyFont="1" applyFill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19" xfId="0" applyFont="1" applyFill="1" applyBorder="1" applyAlignment="1">
      <alignment horizontal="center" vertical="center" wrapText="1"/>
    </xf>
    <xf numFmtId="0" fontId="57" fillId="24" borderId="48" xfId="0" applyFont="1" applyFill="1" applyBorder="1" applyAlignment="1">
      <alignment horizontal="center" vertical="center" wrapText="1"/>
    </xf>
    <xf numFmtId="0" fontId="57" fillId="24" borderId="4" xfId="0" applyFont="1" applyFill="1" applyBorder="1" applyAlignment="1">
      <alignment horizontal="center" vertical="center" wrapText="1"/>
    </xf>
    <xf numFmtId="0" fontId="3" fillId="27" borderId="11" xfId="0" applyFont="1" applyFill="1" applyBorder="1" applyAlignment="1" applyProtection="1">
      <alignment horizontal="left" vertical="center" wrapText="1"/>
      <protection locked="0"/>
    </xf>
    <xf numFmtId="0" fontId="3" fillId="27" borderId="8" xfId="0" applyFont="1" applyFill="1" applyBorder="1" applyAlignment="1" applyProtection="1">
      <alignment horizontal="left" vertical="center" wrapText="1"/>
      <protection locked="0"/>
    </xf>
    <xf numFmtId="0" fontId="3" fillId="27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49" fontId="63" fillId="0" borderId="0" xfId="0" applyNumberFormat="1" applyFont="1" applyAlignment="1">
      <alignment horizontal="right" vertical="top" wrapText="1" shrinkToFit="1" readingOrder="1"/>
    </xf>
    <xf numFmtId="0" fontId="63" fillId="0" borderId="0" xfId="0" applyFont="1" applyAlignment="1">
      <alignment horizontal="left" vertical="top" wrapText="1" shrinkToFit="1" readingOrder="1"/>
    </xf>
    <xf numFmtId="0" fontId="68" fillId="0" borderId="0" xfId="0" applyFont="1" applyAlignment="1">
      <alignment horizontal="left" vertical="center" wrapText="1" shrinkToFit="1" readingOrder="1"/>
    </xf>
    <xf numFmtId="0" fontId="70" fillId="0" borderId="0" xfId="0" applyFont="1" applyAlignment="1">
      <alignment horizontal="left" vertical="center" wrapText="1" shrinkToFit="1" readingOrder="1"/>
    </xf>
    <xf numFmtId="49" fontId="71" fillId="0" borderId="60" xfId="0" applyNumberFormat="1" applyFont="1" applyBorder="1" applyAlignment="1">
      <alignment horizontal="left" vertical="center" wrapText="1" indent="5" shrinkToFit="1" readingOrder="1"/>
    </xf>
    <xf numFmtId="4" fontId="71" fillId="0" borderId="61" xfId="0" applyNumberFormat="1" applyFont="1" applyBorder="1" applyAlignment="1">
      <alignment horizontal="right" vertical="center" wrapText="1" shrinkToFit="1" readingOrder="1"/>
    </xf>
    <xf numFmtId="49" fontId="69" fillId="0" borderId="60" xfId="0" applyNumberFormat="1" applyFont="1" applyBorder="1" applyAlignment="1">
      <alignment horizontal="left" vertical="center" wrapText="1" indent="7" shrinkToFit="1" readingOrder="1"/>
    </xf>
    <xf numFmtId="4" fontId="69" fillId="0" borderId="61" xfId="0" applyNumberFormat="1" applyFont="1" applyBorder="1" applyAlignment="1">
      <alignment horizontal="right" vertical="center" wrapText="1" shrinkToFit="1" readingOrder="1"/>
    </xf>
    <xf numFmtId="49" fontId="71" fillId="0" borderId="60" xfId="0" applyNumberFormat="1" applyFont="1" applyBorder="1" applyAlignment="1">
      <alignment horizontal="left" vertical="center" wrapText="1" indent="1" shrinkToFit="1" readingOrder="1"/>
    </xf>
    <xf numFmtId="49" fontId="71" fillId="0" borderId="60" xfId="0" applyNumberFormat="1" applyFont="1" applyBorder="1" applyAlignment="1">
      <alignment horizontal="left" vertical="center" wrapText="1" indent="3" shrinkToFit="1" readingOrder="1"/>
    </xf>
    <xf numFmtId="49" fontId="69" fillId="0" borderId="60" xfId="0" applyNumberFormat="1" applyFont="1" applyBorder="1" applyAlignment="1">
      <alignment horizontal="left" vertical="center" wrapText="1" indent="5" shrinkToFit="1" readingOrder="1"/>
    </xf>
    <xf numFmtId="49" fontId="71" fillId="0" borderId="60" xfId="0" applyNumberFormat="1" applyFont="1" applyBorder="1" applyAlignment="1">
      <alignment horizontal="left" vertical="center" wrapText="1" indent="7" shrinkToFit="1" readingOrder="1"/>
    </xf>
    <xf numFmtId="49" fontId="69" fillId="0" borderId="60" xfId="0" applyNumberFormat="1" applyFont="1" applyBorder="1" applyAlignment="1">
      <alignment horizontal="left" vertical="center" wrapText="1" indent="10" shrinkToFit="1" readingOrder="1"/>
    </xf>
    <xf numFmtId="49" fontId="71" fillId="0" borderId="60" xfId="0" applyNumberFormat="1" applyFont="1" applyBorder="1" applyAlignment="1">
      <alignment horizontal="left" vertical="center" wrapText="1" shrinkToFit="1" readingOrder="1"/>
    </xf>
    <xf numFmtId="0" fontId="70" fillId="28" borderId="0" xfId="0" applyFont="1" applyFill="1" applyAlignment="1">
      <alignment horizontal="left" vertical="top" wrapText="1" shrinkToFit="1" readingOrder="1"/>
    </xf>
    <xf numFmtId="0" fontId="71" fillId="0" borderId="0" xfId="0" applyFont="1" applyAlignment="1">
      <alignment horizontal="right" vertical="top" wrapText="1" shrinkToFit="1" readingOrder="1"/>
    </xf>
    <xf numFmtId="0" fontId="72" fillId="0" borderId="0" xfId="0" applyFont="1" applyAlignment="1">
      <alignment horizontal="center" vertical="top" wrapText="1" shrinkToFit="1" readingOrder="1"/>
    </xf>
    <xf numFmtId="0" fontId="70" fillId="30" borderId="0" xfId="0" applyFont="1" applyFill="1" applyAlignment="1">
      <alignment horizontal="left" vertical="top" wrapText="1" shrinkToFit="1" readingOrder="1"/>
    </xf>
    <xf numFmtId="0" fontId="66" fillId="28" borderId="0" xfId="0" applyFont="1" applyFill="1" applyAlignment="1">
      <alignment horizontal="left" vertical="top" wrapText="1" shrinkToFit="1" readingOrder="1"/>
    </xf>
    <xf numFmtId="0" fontId="66" fillId="28" borderId="0" xfId="0" applyFont="1" applyFill="1" applyAlignment="1">
      <alignment horizontal="right" vertical="top" wrapText="1" shrinkToFit="1" readingOrder="1"/>
    </xf>
    <xf numFmtId="0" fontId="75" fillId="0" borderId="0" xfId="0" applyFont="1" applyAlignment="1">
      <alignment horizontal="left" vertical="center" wrapText="1" shrinkToFit="1" readingOrder="1"/>
    </xf>
    <xf numFmtId="49" fontId="79" fillId="0" borderId="0" xfId="0" applyNumberFormat="1" applyFont="1" applyAlignment="1">
      <alignment horizontal="right" vertical="top" wrapText="1" shrinkToFit="1" readingOrder="1"/>
    </xf>
    <xf numFmtId="49" fontId="79" fillId="31" borderId="0" xfId="0" applyNumberFormat="1" applyFont="1" applyFill="1" applyAlignment="1">
      <alignment horizontal="left" vertical="center" wrapText="1" shrinkToFit="1" readingOrder="1"/>
    </xf>
    <xf numFmtId="4" fontId="79" fillId="31" borderId="0" xfId="0" applyNumberFormat="1" applyFont="1" applyFill="1" applyAlignment="1">
      <alignment horizontal="right" vertical="center" wrapText="1" shrinkToFit="1" readingOrder="1"/>
    </xf>
    <xf numFmtId="0" fontId="80" fillId="32" borderId="0" xfId="0" applyFont="1" applyFill="1" applyAlignment="1">
      <alignment horizontal="left" vertical="center" wrapText="1" shrinkToFit="1" readingOrder="1"/>
    </xf>
    <xf numFmtId="0" fontId="80" fillId="32" borderId="0" xfId="0" applyFont="1" applyFill="1" applyAlignment="1">
      <alignment horizontal="left" vertical="top" wrapText="1" shrinkToFit="1" readingOrder="1"/>
    </xf>
    <xf numFmtId="0" fontId="81" fillId="32" borderId="0" xfId="0" applyFont="1" applyFill="1" applyAlignment="1">
      <alignment horizontal="right" vertical="center" wrapText="1" shrinkToFit="1" readingOrder="1"/>
    </xf>
    <xf numFmtId="49" fontId="79" fillId="0" borderId="0" xfId="0" applyNumberFormat="1" applyFont="1" applyAlignment="1">
      <alignment horizontal="left" vertical="center" wrapText="1" shrinkToFit="1" readingOrder="1"/>
    </xf>
    <xf numFmtId="4" fontId="79" fillId="0" borderId="0" xfId="0" applyNumberFormat="1" applyFont="1" applyAlignment="1">
      <alignment horizontal="right" vertical="center" wrapText="1" shrinkToFit="1" readingOrder="1"/>
    </xf>
    <xf numFmtId="0" fontId="75" fillId="30" borderId="0" xfId="0" applyFont="1" applyFill="1" applyAlignment="1">
      <alignment horizontal="left" vertical="top" wrapText="1" shrinkToFit="1" readingOrder="1"/>
    </xf>
    <xf numFmtId="0" fontId="78" fillId="28" borderId="0" xfId="0" applyFont="1" applyFill="1" applyAlignment="1">
      <alignment horizontal="left" vertical="center" wrapText="1" shrinkToFit="1" readingOrder="1"/>
    </xf>
    <xf numFmtId="0" fontId="78" fillId="28" borderId="0" xfId="0" applyFont="1" applyFill="1" applyAlignment="1">
      <alignment horizontal="right" vertical="center" wrapText="1" shrinkToFit="1" readingOrder="1"/>
    </xf>
    <xf numFmtId="0" fontId="78" fillId="28" borderId="0" xfId="0" applyFont="1" applyFill="1" applyAlignment="1">
      <alignment horizontal="center" vertical="center" wrapText="1" shrinkToFit="1" readingOrder="1"/>
    </xf>
    <xf numFmtId="0" fontId="73" fillId="0" borderId="0" xfId="0" applyFont="1" applyAlignment="1">
      <alignment horizontal="left" vertical="top" wrapText="1" shrinkToFit="1" readingOrder="1"/>
    </xf>
    <xf numFmtId="0" fontId="76" fillId="0" borderId="0" xfId="0" applyFont="1" applyAlignment="1">
      <alignment horizontal="right" vertical="top" wrapText="1" shrinkToFit="1" readingOrder="1"/>
    </xf>
    <xf numFmtId="0" fontId="74" fillId="0" borderId="0" xfId="0" applyFont="1" applyAlignment="1">
      <alignment horizontal="left" vertical="top" wrapText="1" shrinkToFit="1" readingOrder="1"/>
    </xf>
    <xf numFmtId="0" fontId="75" fillId="28" borderId="0" xfId="0" applyFont="1" applyFill="1" applyAlignment="1">
      <alignment horizontal="left" vertical="top" wrapText="1" shrinkToFit="1" readingOrder="1"/>
    </xf>
    <xf numFmtId="0" fontId="77" fillId="0" borderId="0" xfId="0" applyFont="1" applyAlignment="1">
      <alignment horizontal="center" vertical="top" wrapText="1" shrinkToFit="1" readingOrder="1"/>
    </xf>
  </cellXfs>
  <cellStyles count="14">
    <cellStyle name="Moeda 2" xfId="4" xr:uid="{00000000-0005-0000-0000-000000000000}"/>
    <cellStyle name="Normal" xfId="0" builtinId="0"/>
    <cellStyle name="Normal 2" xfId="3" xr:uid="{00000000-0005-0000-0000-000002000000}"/>
    <cellStyle name="Normal 2 2" xfId="12" xr:uid="{00000000-0005-0000-0000-000003000000}"/>
    <cellStyle name="Normal 3" xfId="6" xr:uid="{00000000-0005-0000-0000-000004000000}"/>
    <cellStyle name="Normal 3 2" xfId="7" xr:uid="{00000000-0005-0000-0000-000005000000}"/>
    <cellStyle name="Normal 3 2 2" xfId="11" xr:uid="{00000000-0005-0000-0000-000006000000}"/>
    <cellStyle name="Porcentagem" xfId="1" builtinId="5"/>
    <cellStyle name="Porcentagem 2" xfId="10" xr:uid="{00000000-0005-0000-0000-000008000000}"/>
    <cellStyle name="Separador de milhares 2" xfId="13" xr:uid="{00000000-0005-0000-0000-000009000000}"/>
    <cellStyle name="Vírgula" xfId="2" builtinId="3"/>
    <cellStyle name="Vírgula 2" xfId="5" xr:uid="{00000000-0005-0000-0000-00000B000000}"/>
    <cellStyle name="Vírgula 2 2" xfId="9" xr:uid="{00000000-0005-0000-0000-00000C000000}"/>
    <cellStyle name="Vírgula 4" xfId="8" xr:uid="{00000000-0005-0000-0000-00000D000000}"/>
  </cellStyles>
  <dxfs count="4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2A5664"/>
      <color rgb="FFE6FB7D"/>
      <color rgb="FFD1E3F3"/>
      <color rgb="FF5E9AA6"/>
      <color rgb="FFDEEBF6"/>
      <color rgb="FFE4F0F0"/>
      <color rgb="FF006871"/>
      <color rgb="FF5E9AC4"/>
      <color rgb="FFFFFADE"/>
      <color rgb="FFFFF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cau-br.implanta.net.br/siscont/despesa/demonstrativoempenhopagamento.aspx?cc=1#SiteMapPath1_SkipLink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3" name="Imagem 2" descr="Pular Links de Navegaçã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8A0C23-A1EB-4418-84F8-F8FE330D8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41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0</xdr:row>
      <xdr:rowOff>0</xdr:rowOff>
    </xdr:from>
    <xdr:ext cx="2295525" cy="1066800"/>
    <xdr:pic>
      <xdr:nvPicPr>
        <xdr:cNvPr id="2" name="Picture 1">
          <a:extLst>
            <a:ext uri="{FF2B5EF4-FFF2-40B4-BE49-F238E27FC236}">
              <a16:creationId xmlns:a16="http://schemas.microsoft.com/office/drawing/2014/main" id="{9BC36416-D353-411D-9495-A9CDCEBC0F5C}"/>
            </a:ext>
          </a:extLst>
        </xdr:cNvPr>
        <xdr:cNvPicPr/>
      </xdr:nvPicPr>
      <xdr:blipFill rotWithShape="1">
        <a:blip xmlns:r="http://schemas.openxmlformats.org/officeDocument/2006/relationships" r:embed="rId1"/>
        <a:stretch>
          <a:fillRect/>
        </a:stretch>
      </xdr:blipFill>
      <xdr:spPr>
        <a:xfrm>
          <a:off x="8244840" y="0"/>
          <a:ext cx="2295525" cy="106680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7</xdr:row>
      <xdr:rowOff>0</xdr:rowOff>
    </xdr:from>
    <xdr:to>
      <xdr:col>11</xdr:col>
      <xdr:colOff>1152525</xdr:colOff>
      <xdr:row>7</xdr:row>
      <xdr:rowOff>76200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631BEDF8-9125-45D2-839F-00D09E8B4ADF}"/>
            </a:ext>
          </a:extLst>
        </xdr:cNvPr>
        <xdr:cNvSpPr/>
      </xdr:nvSpPr>
      <xdr:spPr>
        <a:xfrm>
          <a:off x="0" y="1143000"/>
          <a:ext cx="10586085" cy="76200"/>
        </a:xfrm>
        <a:prstGeom prst="rect">
          <a:avLst/>
        </a:prstGeom>
        <a:noFill/>
        <a:ln w="3047" algn="in">
          <a:solidFill>
            <a:srgbClr val="000000"/>
          </a:solidFill>
        </a:ln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11</xdr:col>
      <xdr:colOff>1152525</xdr:colOff>
      <xdr:row>16</xdr:row>
      <xdr:rowOff>66675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89E6A218-0E17-49A7-8FFF-0F6C13100808}"/>
            </a:ext>
          </a:extLst>
        </xdr:cNvPr>
        <xdr:cNvSpPr/>
      </xdr:nvSpPr>
      <xdr:spPr>
        <a:xfrm>
          <a:off x="0" y="2194560"/>
          <a:ext cx="10586085" cy="59055"/>
        </a:xfrm>
        <a:prstGeom prst="rect">
          <a:avLst/>
        </a:prstGeom>
        <a:noFill/>
        <a:ln w="3047" algn="in">
          <a:solidFill>
            <a:srgbClr val="000000"/>
          </a:solidFill>
        </a:ln>
      </xdr:spPr>
    </xdr:sp>
    <xdr:clientData/>
  </xdr:twoCellAnchor>
  <xdr:oneCellAnchor>
    <xdr:from>
      <xdr:col>2</xdr:col>
      <xdr:colOff>0</xdr:colOff>
      <xdr:row>142</xdr:row>
      <xdr:rowOff>0</xdr:rowOff>
    </xdr:from>
    <xdr:ext cx="295275" cy="161925"/>
    <xdr:pic>
      <xdr:nvPicPr>
        <xdr:cNvPr id="5" name="Picture 2">
          <a:extLst>
            <a:ext uri="{FF2B5EF4-FFF2-40B4-BE49-F238E27FC236}">
              <a16:creationId xmlns:a16="http://schemas.microsoft.com/office/drawing/2014/main" id="{A2F286C9-0165-4742-821F-2D6B7F963DF7}"/>
            </a:ext>
          </a:extLst>
        </xdr:cNvPr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3307080" y="30830520"/>
          <a:ext cx="295275" cy="16192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15</xdr:col>
      <xdr:colOff>0</xdr:colOff>
      <xdr:row>4</xdr:row>
      <xdr:rowOff>0</xdr:rowOff>
    </xdr:to>
    <xdr:pic>
      <xdr:nvPicPr>
        <xdr:cNvPr id="2" name="Picture1">
          <a:extLst>
            <a:ext uri="{FF2B5EF4-FFF2-40B4-BE49-F238E27FC236}">
              <a16:creationId xmlns:a16="http://schemas.microsoft.com/office/drawing/2014/main" id="{E5D44575-5EDA-4EA3-923A-3701BAF14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9680" y="0"/>
          <a:ext cx="23012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FBBE85FA-80F7-4ED4-A657-38BCDA297CCC}"/>
            </a:ext>
          </a:extLst>
        </xdr:cNvPr>
        <xdr:cNvSpPr>
          <a:spLocks noChangeArrowheads="1"/>
        </xdr:cNvSpPr>
      </xdr:nvSpPr>
      <xdr:spPr bwMode="auto">
        <a:xfrm>
          <a:off x="0" y="1112520"/>
          <a:ext cx="7360920" cy="76200"/>
        </a:xfrm>
        <a:prstGeom prst="rect">
          <a:avLst/>
        </a:prstGeom>
        <a:noFill/>
        <a:ln w="3047" algn="in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15</xdr:col>
      <xdr:colOff>0</xdr:colOff>
      <xdr:row>14</xdr:row>
      <xdr:rowOff>0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166039BF-FCA5-4AA2-8612-85EF6CFC847B}"/>
            </a:ext>
          </a:extLst>
        </xdr:cNvPr>
        <xdr:cNvSpPr>
          <a:spLocks noChangeArrowheads="1"/>
        </xdr:cNvSpPr>
      </xdr:nvSpPr>
      <xdr:spPr bwMode="auto">
        <a:xfrm>
          <a:off x="0" y="2232660"/>
          <a:ext cx="7360920" cy="60960"/>
        </a:xfrm>
        <a:prstGeom prst="rect">
          <a:avLst/>
        </a:prstGeom>
        <a:noFill/>
        <a:ln w="3047" algn="in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3</xdr:col>
      <xdr:colOff>0</xdr:colOff>
      <xdr:row>59</xdr:row>
      <xdr:rowOff>0</xdr:rowOff>
    </xdr:to>
    <xdr:pic>
      <xdr:nvPicPr>
        <xdr:cNvPr id="5" name="Picture2">
          <a:extLst>
            <a:ext uri="{FF2B5EF4-FFF2-40B4-BE49-F238E27FC236}">
              <a16:creationId xmlns:a16="http://schemas.microsoft.com/office/drawing/2014/main" id="{773F0A61-CDB9-4F3F-8CB8-F22B742DB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1293114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0</xdr:rowOff>
    </xdr:from>
    <xdr:ext cx="1352550" cy="1066800"/>
    <xdr:pic>
      <xdr:nvPicPr>
        <xdr:cNvPr id="2" name="Picture 1">
          <a:extLst>
            <a:ext uri="{FF2B5EF4-FFF2-40B4-BE49-F238E27FC236}">
              <a16:creationId xmlns:a16="http://schemas.microsoft.com/office/drawing/2014/main" id="{75C0E976-0FEB-48FA-AA78-8202A3CCF5A1}"/>
            </a:ext>
          </a:extLst>
        </xdr:cNvPr>
        <xdr:cNvPicPr/>
      </xdr:nvPicPr>
      <xdr:blipFill rotWithShape="1">
        <a:blip xmlns:r="http://schemas.openxmlformats.org/officeDocument/2006/relationships" r:embed="rId1"/>
        <a:stretch>
          <a:fillRect/>
        </a:stretch>
      </xdr:blipFill>
      <xdr:spPr>
        <a:xfrm>
          <a:off x="5974080" y="0"/>
          <a:ext cx="1352550" cy="106680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5</xdr:row>
      <xdr:rowOff>0</xdr:rowOff>
    </xdr:from>
    <xdr:to>
      <xdr:col>16</xdr:col>
      <xdr:colOff>9525</xdr:colOff>
      <xdr:row>5</xdr:row>
      <xdr:rowOff>76200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30D8952-5315-416F-8184-6DC51560ECA4}"/>
            </a:ext>
          </a:extLst>
        </xdr:cNvPr>
        <xdr:cNvSpPr/>
      </xdr:nvSpPr>
      <xdr:spPr>
        <a:xfrm>
          <a:off x="0" y="1112520"/>
          <a:ext cx="7370445" cy="76200"/>
        </a:xfrm>
        <a:prstGeom prst="rect">
          <a:avLst/>
        </a:prstGeom>
        <a:noFill/>
        <a:ln w="3047" algn="in">
          <a:solidFill>
            <a:srgbClr val="000000"/>
          </a:solidFill>
        </a:ln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15</xdr:col>
      <xdr:colOff>619125</xdr:colOff>
      <xdr:row>13</xdr:row>
      <xdr:rowOff>66675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FE998BB-1FB3-4783-A2D3-513DD30CD728}"/>
            </a:ext>
          </a:extLst>
        </xdr:cNvPr>
        <xdr:cNvSpPr/>
      </xdr:nvSpPr>
      <xdr:spPr>
        <a:xfrm>
          <a:off x="0" y="2301240"/>
          <a:ext cx="7339965" cy="59055"/>
        </a:xfrm>
        <a:prstGeom prst="rect">
          <a:avLst/>
        </a:prstGeom>
        <a:noFill/>
        <a:ln w="3047" algn="in">
          <a:solidFill>
            <a:srgbClr val="000000"/>
          </a:solidFill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gomo/Desktop/Reprograma&#231;&#227;o%202020/Tabelas%20Diretrizes%20-%20Reprog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3\fs-caubr\Users\patriciagomo\Desktop\Tabelas%20Diretrizes%20-%20Reprog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use-Levono\Documents\TELETRABALHO%20MAC-20220408T123749Z-001\TELETRABALHO%20MAC\REPROGRAMA&#199;&#195;O%202022\AN&#193;LISE%20BR\Reprograma&#231;&#227;o%20CAU.SE_2022_Validada.xlsx" TargetMode="External"/><Relationship Id="rId1" Type="http://schemas.openxmlformats.org/officeDocument/2006/relationships/externalLinkPath" Target="/Users/Cause-Levono/Documents/TELETRABALHO%20MAC-20220408T123749Z-001/TELETRABALHO%20MAC/REPROGRAMA&#199;&#195;O%202022/AN&#193;LISE%20BR/Reprograma&#231;&#227;o%20CAU.SE_2022_Validad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SSESSORIA%20DE%20PLANEJAMENTO%20E%20GESTAO%20DA%20ESTRATEGIA\2022\Programa&#231;&#227;o%202022\Parecer%20e%20Plano%20de%20A&#231;&#227;o\Plano%20de%20A&#231;&#227;o%20Final\Programa&#231;&#227;o%20do%20Plano%20de%20A&#231;&#227;o%20e%20Or&#231;amento%202022%20CAU-S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SSESSORIA%20DE%20PLANEJAMENTO%20E%20GESTAO%20DA%20ESTRATEGIA\2022\Reprograma&#231;&#227;o%202022\Plano%20de%20A&#231;&#227;o%20Reprograma&#231;&#227;o%202022\Programa&#231;&#227;o_Base\Programa&#231;&#227;o%20do%20Plano%20de%20A&#231;&#227;o%20e%20Or&#231;amento%202022%20CAU-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"/>
      <sheetName val="Validação de dados"/>
      <sheetName val="AÇÕES ESTRATÉGICAS - DESCRIÇÃO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XFB1">
            <v>0.05</v>
          </cell>
        </row>
        <row r="2">
          <cell r="XFB2">
            <v>0.1</v>
          </cell>
        </row>
        <row r="3">
          <cell r="XFB3">
            <v>0.15</v>
          </cell>
        </row>
        <row r="4">
          <cell r="XFB4">
            <v>0.2</v>
          </cell>
        </row>
        <row r="5">
          <cell r="XFB5">
            <v>0.25</v>
          </cell>
        </row>
        <row r="6">
          <cell r="XFB6">
            <v>0.3</v>
          </cell>
        </row>
        <row r="7">
          <cell r="XFB7">
            <v>0.35</v>
          </cell>
        </row>
        <row r="8">
          <cell r="XFB8">
            <v>0.4</v>
          </cell>
        </row>
        <row r="9">
          <cell r="XFB9">
            <v>0.45</v>
          </cell>
        </row>
        <row r="10">
          <cell r="XFB10">
            <v>0.5</v>
          </cell>
        </row>
        <row r="11">
          <cell r="XFB11">
            <v>0.55000000000000004</v>
          </cell>
        </row>
        <row r="12">
          <cell r="XFB12">
            <v>0.6</v>
          </cell>
        </row>
        <row r="13">
          <cell r="XFB13">
            <v>0.65</v>
          </cell>
        </row>
        <row r="14">
          <cell r="XFB14">
            <v>0.7</v>
          </cell>
        </row>
        <row r="15">
          <cell r="XFB15">
            <v>0.75</v>
          </cell>
        </row>
        <row r="16">
          <cell r="XFB16">
            <v>0.8</v>
          </cell>
        </row>
        <row r="17">
          <cell r="XFB17">
            <v>0.85</v>
          </cell>
        </row>
        <row r="18">
          <cell r="XFB18">
            <v>0.9</v>
          </cell>
        </row>
        <row r="19">
          <cell r="XFB19">
            <v>0.95</v>
          </cell>
        </row>
        <row r="20">
          <cell r="XFB20">
            <v>1</v>
          </cell>
        </row>
      </sheetData>
      <sheetData sheetId="6">
        <row r="5">
          <cell r="C5">
            <v>586</v>
          </cell>
        </row>
      </sheetData>
      <sheetData sheetId="7" refreshError="1"/>
      <sheetData sheetId="8">
        <row r="6">
          <cell r="AX6">
            <v>67439.888000000006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J2" t="str">
            <v>PJ até 2 anos com sócio AU formado até 2 anos</v>
          </cell>
          <cell r="L2" t="str">
            <v>Relatório 14</v>
          </cell>
          <cell r="M2">
            <v>0</v>
          </cell>
          <cell r="N2">
            <v>0</v>
          </cell>
          <cell r="O2">
            <v>0</v>
          </cell>
        </row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L4" t="str">
            <v>Situação de Registro Ativo</v>
          </cell>
          <cell r="M4" t="str">
            <v>Inativos</v>
          </cell>
          <cell r="N4" t="str">
            <v>Pagantes</v>
          </cell>
          <cell r="O4" t="str">
            <v>0/1</v>
          </cell>
        </row>
        <row r="5">
          <cell r="N5">
            <v>32</v>
          </cell>
          <cell r="O5">
            <v>7</v>
          </cell>
        </row>
        <row r="6">
          <cell r="N6">
            <v>63</v>
          </cell>
          <cell r="O6">
            <v>12</v>
          </cell>
        </row>
        <row r="7">
          <cell r="N7">
            <v>37</v>
          </cell>
          <cell r="O7">
            <v>10</v>
          </cell>
        </row>
        <row r="8">
          <cell r="N8">
            <v>89</v>
          </cell>
          <cell r="O8">
            <v>12</v>
          </cell>
        </row>
        <row r="9">
          <cell r="N9">
            <v>56</v>
          </cell>
          <cell r="O9">
            <v>13</v>
          </cell>
        </row>
        <row r="10">
          <cell r="N10">
            <v>14</v>
          </cell>
          <cell r="O10">
            <v>0</v>
          </cell>
        </row>
        <row r="11">
          <cell r="N11">
            <v>41</v>
          </cell>
          <cell r="O11">
            <v>5</v>
          </cell>
        </row>
        <row r="12">
          <cell r="N12">
            <v>332</v>
          </cell>
          <cell r="O12">
            <v>59</v>
          </cell>
        </row>
        <row r="13">
          <cell r="N13">
            <v>41</v>
          </cell>
          <cell r="O13">
            <v>5</v>
          </cell>
        </row>
        <row r="14">
          <cell r="N14">
            <v>283</v>
          </cell>
          <cell r="O14">
            <v>28</v>
          </cell>
        </row>
        <row r="15">
          <cell r="N15">
            <v>139</v>
          </cell>
          <cell r="O15">
            <v>7</v>
          </cell>
        </row>
        <row r="16">
          <cell r="N16">
            <v>49</v>
          </cell>
          <cell r="O16">
            <v>5</v>
          </cell>
        </row>
        <row r="17">
          <cell r="N17">
            <v>87</v>
          </cell>
          <cell r="O17">
            <v>11</v>
          </cell>
        </row>
        <row r="18">
          <cell r="N18">
            <v>205</v>
          </cell>
          <cell r="O18">
            <v>19</v>
          </cell>
        </row>
        <row r="19">
          <cell r="N19">
            <v>70</v>
          </cell>
          <cell r="O19">
            <v>13</v>
          </cell>
        </row>
        <row r="20">
          <cell r="N20">
            <v>72</v>
          </cell>
          <cell r="O20">
            <v>6</v>
          </cell>
        </row>
        <row r="21">
          <cell r="N21">
            <v>57</v>
          </cell>
          <cell r="O21">
            <v>6</v>
          </cell>
        </row>
        <row r="22">
          <cell r="N22">
            <v>1003</v>
          </cell>
          <cell r="O22">
            <v>100</v>
          </cell>
        </row>
        <row r="23">
          <cell r="N23">
            <v>222</v>
          </cell>
          <cell r="O23">
            <v>27</v>
          </cell>
        </row>
        <row r="24">
          <cell r="N24">
            <v>212</v>
          </cell>
          <cell r="O24">
            <v>47</v>
          </cell>
        </row>
        <row r="25">
          <cell r="N25">
            <v>182</v>
          </cell>
          <cell r="O25">
            <v>26</v>
          </cell>
        </row>
        <row r="26">
          <cell r="N26">
            <v>172</v>
          </cell>
          <cell r="O26">
            <v>22</v>
          </cell>
        </row>
        <row r="27">
          <cell r="N27">
            <v>788</v>
          </cell>
          <cell r="O27">
            <v>122</v>
          </cell>
        </row>
        <row r="28">
          <cell r="N28">
            <v>225</v>
          </cell>
          <cell r="O28">
            <v>13</v>
          </cell>
        </row>
        <row r="29">
          <cell r="N29">
            <v>738</v>
          </cell>
          <cell r="O29">
            <v>69</v>
          </cell>
        </row>
        <row r="30">
          <cell r="N30">
            <v>1078</v>
          </cell>
          <cell r="O30">
            <v>82</v>
          </cell>
        </row>
        <row r="31">
          <cell r="N31">
            <v>3458</v>
          </cell>
          <cell r="O31">
            <v>154</v>
          </cell>
        </row>
        <row r="32">
          <cell r="N32">
            <v>5499</v>
          </cell>
          <cell r="O32">
            <v>318</v>
          </cell>
        </row>
        <row r="33">
          <cell r="N33">
            <v>1058</v>
          </cell>
          <cell r="O33">
            <v>125</v>
          </cell>
        </row>
        <row r="34">
          <cell r="N34">
            <v>949</v>
          </cell>
          <cell r="O34">
            <v>87</v>
          </cell>
        </row>
        <row r="35">
          <cell r="N35">
            <v>649</v>
          </cell>
          <cell r="O35">
            <v>70</v>
          </cell>
        </row>
        <row r="36">
          <cell r="N36">
            <v>2656</v>
          </cell>
          <cell r="O36">
            <v>282</v>
          </cell>
        </row>
        <row r="37">
          <cell r="N37">
            <v>10278</v>
          </cell>
          <cell r="O37">
            <v>881</v>
          </cell>
        </row>
      </sheetData>
      <sheetData sheetId="15" refreshError="1"/>
      <sheetData sheetId="16" refreshError="1"/>
      <sheetData sheetId="17" refreshError="1"/>
      <sheetData sheetId="18">
        <row r="3">
          <cell r="A3" t="str">
            <v>SP</v>
          </cell>
        </row>
      </sheetData>
      <sheetData sheetId="19">
        <row r="30">
          <cell r="A30" t="str">
            <v>RR</v>
          </cell>
        </row>
      </sheetData>
      <sheetData sheetId="20">
        <row r="3">
          <cell r="D3">
            <v>2726.8547648527197</v>
          </cell>
        </row>
      </sheetData>
      <sheetData sheetId="21" refreshError="1"/>
      <sheetData sheetId="22" refreshError="1"/>
      <sheetData sheetId="23">
        <row r="2">
          <cell r="A2" t="str">
            <v>AC</v>
          </cell>
        </row>
      </sheetData>
      <sheetData sheetId="24">
        <row r="10">
          <cell r="A10" t="str">
            <v>RR</v>
          </cell>
        </row>
      </sheetData>
      <sheetData sheetId="25">
        <row r="3">
          <cell r="A3" t="str">
            <v>AC</v>
          </cell>
        </row>
      </sheetData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"/>
      <sheetName val="QUADRO_1"/>
      <sheetName val="QUADRO_2"/>
      <sheetName val="QUADRO_3"/>
      <sheetName val="QUADRO_4"/>
      <sheetName val="Simulação_de_%"/>
      <sheetName val="Estudos_-_Receita"/>
      <sheetName val="ANEXO_I"/>
      <sheetName val="ANEXO_II"/>
      <sheetName val="ANEXO_III_e_Anexo_IX"/>
      <sheetName val="Estudos_-_Quant__PF"/>
      <sheetName val="NOVOS_EGRESSOS"/>
      <sheetName val="ANEXO_IV"/>
      <sheetName val="ANEXO_V"/>
      <sheetName val="Estudos_-_Quant__PJ"/>
      <sheetName val="ANEXO_VI"/>
      <sheetName val="ANEXO_VII"/>
      <sheetName val="ANEXO_VIII"/>
      <sheetName val="ANEXO_X_Aporte_FA"/>
      <sheetName val="ANEXO_X_I_Repasse_FA"/>
      <sheetName val="ANEXO_XI_CSC_Total"/>
      <sheetName val="ANEXO_XI_I_CSC_RIA"/>
      <sheetName val="ANEXO_XI_II_CSC_Essencial"/>
      <sheetName val="ANEXO_XI_III_-_RIA_Enc__dContas"/>
      <sheetName val="ANEXO_XII"/>
      <sheetName val="XIII__TAXAS_BANCÁRIAS"/>
      <sheetName val="NOVO_SISCAF"/>
      <sheetName val="Gráficos_e_Tabelas"/>
      <sheetName val="Resumo_-_Ajuste_pelos_UFs"/>
      <sheetName val="Resumo."/>
      <sheetName val="AÇÕES ESTRATÉGICAS - DESCRIÇÃO"/>
      <sheetName val="AÇÕES ESTRATÉGICAS - DESCRIÇÃO "/>
      <sheetName val="Validação de d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XFB1">
            <v>0.05</v>
          </cell>
        </row>
        <row r="2">
          <cell r="XFB2">
            <v>0.1</v>
          </cell>
        </row>
        <row r="3">
          <cell r="XFB3">
            <v>0.15</v>
          </cell>
        </row>
        <row r="4">
          <cell r="XFB4">
            <v>0.2</v>
          </cell>
        </row>
        <row r="5">
          <cell r="XFB5">
            <v>0.25</v>
          </cell>
        </row>
        <row r="6">
          <cell r="XFB6">
            <v>0.3</v>
          </cell>
        </row>
        <row r="7">
          <cell r="XFB7">
            <v>0.35</v>
          </cell>
        </row>
        <row r="8">
          <cell r="XFB8">
            <v>0.4</v>
          </cell>
        </row>
        <row r="9">
          <cell r="XFB9">
            <v>0.45</v>
          </cell>
        </row>
        <row r="10">
          <cell r="XFB10">
            <v>0.5</v>
          </cell>
        </row>
        <row r="11">
          <cell r="XFB11">
            <v>0.55000000000000004</v>
          </cell>
        </row>
        <row r="12">
          <cell r="XFB12">
            <v>0.6</v>
          </cell>
        </row>
        <row r="13">
          <cell r="XFB13">
            <v>0.65</v>
          </cell>
        </row>
        <row r="14">
          <cell r="XFB14">
            <v>0.7</v>
          </cell>
        </row>
        <row r="15">
          <cell r="XFB15">
            <v>0.75</v>
          </cell>
        </row>
        <row r="16">
          <cell r="XFB16">
            <v>0.8</v>
          </cell>
        </row>
        <row r="17">
          <cell r="XFB17">
            <v>0.85</v>
          </cell>
        </row>
        <row r="18">
          <cell r="XFB18">
            <v>0.9</v>
          </cell>
        </row>
        <row r="19">
          <cell r="XFB19">
            <v>0.95</v>
          </cell>
        </row>
        <row r="20">
          <cell r="XFB20">
            <v>1</v>
          </cell>
        </row>
      </sheetData>
      <sheetData sheetId="6">
        <row r="5">
          <cell r="C5">
            <v>586</v>
          </cell>
        </row>
      </sheetData>
      <sheetData sheetId="7" refreshError="1"/>
      <sheetData sheetId="8">
        <row r="6">
          <cell r="AX6">
            <v>67439.888000000006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J2" t="str">
            <v>PJ até 2 anos com sócio AU formado até 2 anos</v>
          </cell>
          <cell r="L2" t="str">
            <v>Relatório 14</v>
          </cell>
        </row>
        <row r="4">
          <cell r="L4" t="str">
            <v>Situação de Registro Ativo</v>
          </cell>
          <cell r="M4" t="str">
            <v>Inativos</v>
          </cell>
          <cell r="N4" t="str">
            <v>Pagantes</v>
          </cell>
          <cell r="O4" t="str">
            <v>0/1</v>
          </cell>
        </row>
        <row r="5">
          <cell r="N5">
            <v>32</v>
          </cell>
          <cell r="O5">
            <v>7</v>
          </cell>
        </row>
        <row r="6">
          <cell r="N6">
            <v>63</v>
          </cell>
          <cell r="O6">
            <v>12</v>
          </cell>
        </row>
        <row r="7">
          <cell r="N7">
            <v>37</v>
          </cell>
          <cell r="O7">
            <v>10</v>
          </cell>
        </row>
        <row r="8">
          <cell r="N8">
            <v>89</v>
          </cell>
          <cell r="O8">
            <v>12</v>
          </cell>
        </row>
        <row r="9">
          <cell r="N9">
            <v>56</v>
          </cell>
          <cell r="O9">
            <v>13</v>
          </cell>
        </row>
        <row r="10">
          <cell r="N10">
            <v>14</v>
          </cell>
          <cell r="O10">
            <v>0</v>
          </cell>
        </row>
        <row r="11">
          <cell r="N11">
            <v>41</v>
          </cell>
          <cell r="O11">
            <v>5</v>
          </cell>
        </row>
        <row r="12">
          <cell r="N12">
            <v>332</v>
          </cell>
          <cell r="O12">
            <v>59</v>
          </cell>
        </row>
        <row r="13">
          <cell r="N13">
            <v>41</v>
          </cell>
          <cell r="O13">
            <v>5</v>
          </cell>
        </row>
        <row r="14">
          <cell r="N14">
            <v>283</v>
          </cell>
          <cell r="O14">
            <v>28</v>
          </cell>
        </row>
        <row r="15">
          <cell r="N15">
            <v>139</v>
          </cell>
          <cell r="O15">
            <v>7</v>
          </cell>
        </row>
        <row r="16">
          <cell r="N16">
            <v>49</v>
          </cell>
          <cell r="O16">
            <v>5</v>
          </cell>
        </row>
        <row r="17">
          <cell r="N17">
            <v>87</v>
          </cell>
          <cell r="O17">
            <v>11</v>
          </cell>
        </row>
        <row r="18">
          <cell r="N18">
            <v>205</v>
          </cell>
          <cell r="O18">
            <v>19</v>
          </cell>
        </row>
        <row r="19">
          <cell r="N19">
            <v>70</v>
          </cell>
          <cell r="O19">
            <v>13</v>
          </cell>
        </row>
        <row r="20">
          <cell r="N20">
            <v>72</v>
          </cell>
          <cell r="O20">
            <v>6</v>
          </cell>
        </row>
        <row r="21">
          <cell r="N21">
            <v>57</v>
          </cell>
          <cell r="O21">
            <v>6</v>
          </cell>
        </row>
        <row r="22">
          <cell r="N22">
            <v>1003</v>
          </cell>
          <cell r="O22">
            <v>100</v>
          </cell>
        </row>
        <row r="23">
          <cell r="N23">
            <v>222</v>
          </cell>
          <cell r="O23">
            <v>27</v>
          </cell>
        </row>
        <row r="24">
          <cell r="N24">
            <v>212</v>
          </cell>
          <cell r="O24">
            <v>47</v>
          </cell>
        </row>
        <row r="25">
          <cell r="N25">
            <v>182</v>
          </cell>
          <cell r="O25">
            <v>26</v>
          </cell>
        </row>
        <row r="26">
          <cell r="N26">
            <v>172</v>
          </cell>
          <cell r="O26">
            <v>22</v>
          </cell>
        </row>
        <row r="27">
          <cell r="N27">
            <v>788</v>
          </cell>
          <cell r="O27">
            <v>122</v>
          </cell>
        </row>
        <row r="28">
          <cell r="N28">
            <v>225</v>
          </cell>
          <cell r="O28">
            <v>13</v>
          </cell>
        </row>
        <row r="29">
          <cell r="N29">
            <v>738</v>
          </cell>
          <cell r="O29">
            <v>69</v>
          </cell>
        </row>
        <row r="30">
          <cell r="N30">
            <v>1078</v>
          </cell>
          <cell r="O30">
            <v>82</v>
          </cell>
        </row>
        <row r="31">
          <cell r="N31">
            <v>3458</v>
          </cell>
          <cell r="O31">
            <v>154</v>
          </cell>
        </row>
        <row r="32">
          <cell r="N32">
            <v>5499</v>
          </cell>
          <cell r="O32">
            <v>318</v>
          </cell>
        </row>
        <row r="33">
          <cell r="N33">
            <v>1058</v>
          </cell>
          <cell r="O33">
            <v>125</v>
          </cell>
        </row>
        <row r="34">
          <cell r="N34">
            <v>949</v>
          </cell>
          <cell r="O34">
            <v>87</v>
          </cell>
        </row>
        <row r="35">
          <cell r="N35">
            <v>649</v>
          </cell>
          <cell r="O35">
            <v>70</v>
          </cell>
        </row>
        <row r="36">
          <cell r="N36">
            <v>2656</v>
          </cell>
          <cell r="O36">
            <v>282</v>
          </cell>
        </row>
        <row r="37">
          <cell r="N37">
            <v>10278</v>
          </cell>
          <cell r="O37">
            <v>881</v>
          </cell>
        </row>
      </sheetData>
      <sheetData sheetId="15" refreshError="1"/>
      <sheetData sheetId="16" refreshError="1"/>
      <sheetData sheetId="17" refreshError="1"/>
      <sheetData sheetId="18">
        <row r="3">
          <cell r="A3" t="str">
            <v>SP</v>
          </cell>
        </row>
      </sheetData>
      <sheetData sheetId="19">
        <row r="30">
          <cell r="A30" t="str">
            <v>RR</v>
          </cell>
        </row>
      </sheetData>
      <sheetData sheetId="20">
        <row r="3">
          <cell r="D3">
            <v>2726.8547648527197</v>
          </cell>
        </row>
      </sheetData>
      <sheetData sheetId="21" refreshError="1"/>
      <sheetData sheetId="22" refreshError="1"/>
      <sheetData sheetId="23">
        <row r="2">
          <cell r="A2" t="str">
            <v>AC</v>
          </cell>
        </row>
      </sheetData>
      <sheetData sheetId="24">
        <row r="10">
          <cell r="A10" t="str">
            <v>RR</v>
          </cell>
        </row>
      </sheetData>
      <sheetData sheetId="25">
        <row r="3">
          <cell r="A3" t="str">
            <v>AC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>
        <row r="1">
          <cell r="XFB1">
            <v>0.05</v>
          </cell>
        </row>
      </sheetData>
      <sheetData sheetId="36">
        <row r="5">
          <cell r="C5">
            <v>586</v>
          </cell>
        </row>
      </sheetData>
      <sheetData sheetId="37"/>
      <sheetData sheetId="38">
        <row r="6">
          <cell r="AX6">
            <v>67439.888000000006</v>
          </cell>
        </row>
      </sheetData>
      <sheetData sheetId="39"/>
      <sheetData sheetId="40"/>
      <sheetData sheetId="41"/>
      <sheetData sheetId="42"/>
      <sheetData sheetId="43">
        <row r="2">
          <cell r="J2" t="str">
            <v>PJ até 2 anos com sócio AU formado até 2 anos</v>
          </cell>
        </row>
      </sheetData>
      <sheetData sheetId="44"/>
      <sheetData sheetId="45"/>
      <sheetData sheetId="46"/>
      <sheetData sheetId="47">
        <row r="3">
          <cell r="A3" t="str">
            <v>SP</v>
          </cell>
        </row>
      </sheetData>
      <sheetData sheetId="48">
        <row r="30">
          <cell r="A30" t="str">
            <v>RR</v>
          </cell>
        </row>
      </sheetData>
      <sheetData sheetId="49">
        <row r="3">
          <cell r="D3">
            <v>2726.8547648527197</v>
          </cell>
        </row>
      </sheetData>
      <sheetData sheetId="50"/>
      <sheetData sheetId="51"/>
      <sheetData sheetId="52">
        <row r="2">
          <cell r="A2" t="str">
            <v>AC</v>
          </cell>
        </row>
      </sheetData>
      <sheetData sheetId="53">
        <row r="10">
          <cell r="A10" t="str">
            <v>RR</v>
          </cell>
        </row>
      </sheetData>
      <sheetData sheetId="54">
        <row r="3">
          <cell r="A3" t="str">
            <v>AC</v>
          </cell>
        </row>
      </sheetData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rientações Iniciais"/>
      <sheetName val="Mapa Estratégico e ODS"/>
      <sheetName val="Indicadores e Metas"/>
      <sheetName val="Quadro Geral"/>
      <sheetName val="Anexo 1. Fontes e Aplicações"/>
      <sheetName val="Anexo 2. Limites Estratégicos"/>
      <sheetName val="Anexo 3. Elemento de Despesas"/>
      <sheetName val="Comparativo de Receita"/>
      <sheetName val="Resumo 2022"/>
      <sheetName val="SISCONT"/>
      <sheetName val="APLICAÇÕES"/>
      <sheetName val="FONTES"/>
      <sheetName val="Prog. Elemento de Despes "/>
      <sheetName val="Validação de dados"/>
      <sheetName val="Diretrizes - Resumo"/>
      <sheetName val="Matriz de Obj. Estrat."/>
    </sheetNames>
    <sheetDataSet>
      <sheetData sheetId="0"/>
      <sheetData sheetId="1"/>
      <sheetData sheetId="2">
        <row r="2">
          <cell r="A2" t="str">
            <v>CAU/UF:  CAU/SE</v>
          </cell>
          <cell r="B2"/>
          <cell r="C2"/>
          <cell r="D2"/>
          <cell r="E2"/>
          <cell r="F2"/>
        </row>
      </sheetData>
      <sheetData sheetId="3">
        <row r="8">
          <cell r="B8" t="str">
            <v>A</v>
          </cell>
          <cell r="I8">
            <v>477170.14</v>
          </cell>
          <cell r="J8">
            <v>193378.19</v>
          </cell>
          <cell r="K8">
            <v>306637.95</v>
          </cell>
          <cell r="L8">
            <v>500016.14</v>
          </cell>
        </row>
        <row r="9">
          <cell r="B9" t="str">
            <v>A</v>
          </cell>
          <cell r="I9">
            <v>358582.63</v>
          </cell>
          <cell r="J9">
            <v>141101.26999999999</v>
          </cell>
          <cell r="K9">
            <v>238281.36000000002</v>
          </cell>
          <cell r="L9">
            <v>379382.63</v>
          </cell>
        </row>
        <row r="10">
          <cell r="B10" t="str">
            <v>A</v>
          </cell>
          <cell r="I10">
            <v>79443.539999999994</v>
          </cell>
          <cell r="J10">
            <v>8990.4699999999993</v>
          </cell>
          <cell r="K10">
            <v>32520.53</v>
          </cell>
          <cell r="L10">
            <v>41511</v>
          </cell>
        </row>
        <row r="11">
          <cell r="B11" t="str">
            <v>A</v>
          </cell>
          <cell r="I11">
            <v>200351.27000000002</v>
          </cell>
          <cell r="J11">
            <v>68360.95</v>
          </cell>
          <cell r="K11">
            <v>155990.32</v>
          </cell>
          <cell r="L11">
            <v>224351.27000000002</v>
          </cell>
        </row>
        <row r="12">
          <cell r="B12" t="str">
            <v>A</v>
          </cell>
          <cell r="I12">
            <v>7800</v>
          </cell>
          <cell r="J12">
            <v>1910.29</v>
          </cell>
          <cell r="K12">
            <v>5889.71</v>
          </cell>
          <cell r="L12">
            <v>7800</v>
          </cell>
        </row>
        <row r="13">
          <cell r="B13" t="str">
            <v>A</v>
          </cell>
          <cell r="I13">
            <v>93000.36</v>
          </cell>
          <cell r="J13">
            <v>38750.15</v>
          </cell>
          <cell r="K13">
            <v>49359.310000000005</v>
          </cell>
          <cell r="L13">
            <v>88109.46</v>
          </cell>
        </row>
        <row r="14">
          <cell r="B14" t="str">
            <v>A</v>
          </cell>
          <cell r="I14">
            <v>11151.630000000001</v>
          </cell>
          <cell r="J14">
            <v>4646.5</v>
          </cell>
          <cell r="K14">
            <v>6815.2900000000009</v>
          </cell>
          <cell r="L14">
            <v>11461.79</v>
          </cell>
        </row>
        <row r="15">
          <cell r="B15" t="str">
            <v>A</v>
          </cell>
          <cell r="I15">
            <v>8095.18</v>
          </cell>
          <cell r="J15">
            <v>3373</v>
          </cell>
          <cell r="K15">
            <v>712.63999999999987</v>
          </cell>
          <cell r="L15">
            <v>4085.64</v>
          </cell>
        </row>
        <row r="16">
          <cell r="B16" t="str">
            <v>A</v>
          </cell>
          <cell r="I16">
            <v>21580.14</v>
          </cell>
          <cell r="J16">
            <v>8991.75</v>
          </cell>
          <cell r="K16">
            <v>8319.98</v>
          </cell>
          <cell r="L16">
            <v>17311.73</v>
          </cell>
        </row>
        <row r="17">
          <cell r="B17" t="str">
            <v>A</v>
          </cell>
          <cell r="I17">
            <v>14440</v>
          </cell>
          <cell r="J17">
            <v>2911.5</v>
          </cell>
          <cell r="K17">
            <v>11528.5</v>
          </cell>
          <cell r="L17">
            <v>14440</v>
          </cell>
        </row>
        <row r="18">
          <cell r="B18" t="str">
            <v>A</v>
          </cell>
          <cell r="I18">
            <v>46401.46</v>
          </cell>
          <cell r="J18">
            <v>8593.76</v>
          </cell>
          <cell r="K18">
            <v>97910.299999999988</v>
          </cell>
          <cell r="L18">
            <v>106504.05999999998</v>
          </cell>
        </row>
        <row r="19">
          <cell r="B19" t="str">
            <v>A</v>
          </cell>
          <cell r="I19">
            <v>10000</v>
          </cell>
          <cell r="J19">
            <v>2348.5500000000002</v>
          </cell>
          <cell r="K19">
            <v>7651.45</v>
          </cell>
          <cell r="L19">
            <v>10000</v>
          </cell>
        </row>
        <row r="20">
          <cell r="B20" t="str">
            <v>A</v>
          </cell>
          <cell r="I20">
            <v>2000</v>
          </cell>
          <cell r="J20">
            <v>0</v>
          </cell>
          <cell r="K20">
            <v>2000</v>
          </cell>
          <cell r="L20">
            <v>2000</v>
          </cell>
        </row>
        <row r="21">
          <cell r="B21" t="str">
            <v>P</v>
          </cell>
          <cell r="I21">
            <v>24000</v>
          </cell>
          <cell r="J21">
            <v>24000</v>
          </cell>
          <cell r="K21">
            <v>0</v>
          </cell>
          <cell r="L21">
            <v>24000</v>
          </cell>
        </row>
        <row r="22">
          <cell r="B22" t="str">
            <v>P</v>
          </cell>
          <cell r="I22">
            <v>26796.11</v>
          </cell>
          <cell r="J22">
            <v>0</v>
          </cell>
          <cell r="K22">
            <v>26796.11</v>
          </cell>
          <cell r="L22">
            <v>26796.11</v>
          </cell>
        </row>
        <row r="23">
          <cell r="B23" t="str">
            <v>PE</v>
          </cell>
          <cell r="I23">
            <v>124500</v>
          </cell>
          <cell r="J23">
            <v>0</v>
          </cell>
          <cell r="K23">
            <v>124500</v>
          </cell>
          <cell r="L23">
            <v>124500</v>
          </cell>
        </row>
        <row r="24">
          <cell r="B24" t="str">
            <v>P</v>
          </cell>
          <cell r="I24">
            <v>0</v>
          </cell>
          <cell r="J24">
            <v>0</v>
          </cell>
          <cell r="K24">
            <v>735000</v>
          </cell>
          <cell r="L24">
            <v>735000</v>
          </cell>
        </row>
        <row r="25">
          <cell r="B25" t="str">
            <v>P</v>
          </cell>
          <cell r="I25">
            <v>15000</v>
          </cell>
          <cell r="J25">
            <v>2490</v>
          </cell>
          <cell r="K25">
            <v>27510</v>
          </cell>
          <cell r="L25">
            <v>30000</v>
          </cell>
        </row>
        <row r="26">
          <cell r="B26" t="str">
            <v>PE.</v>
          </cell>
          <cell r="I26">
            <v>23400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1543712.46</v>
          </cell>
          <cell r="J27">
            <v>509846.37999999995</v>
          </cell>
          <cell r="K27">
            <v>1837423.4500000002</v>
          </cell>
          <cell r="L27">
            <v>2347269.83</v>
          </cell>
          <cell r="N27">
            <v>803557.37</v>
          </cell>
        </row>
      </sheetData>
      <sheetData sheetId="4"/>
      <sheetData sheetId="5"/>
      <sheetData sheetId="6">
        <row r="25">
          <cell r="N25">
            <v>1582269.83</v>
          </cell>
          <cell r="O25">
            <v>765000</v>
          </cell>
          <cell r="P25">
            <v>2347269.83</v>
          </cell>
        </row>
      </sheetData>
      <sheetData sheetId="7">
        <row r="21">
          <cell r="G21">
            <v>256587.14</v>
          </cell>
        </row>
        <row r="22">
          <cell r="G22">
            <v>57300.45</v>
          </cell>
        </row>
        <row r="23">
          <cell r="G23">
            <v>6450.36</v>
          </cell>
        </row>
        <row r="24">
          <cell r="G24">
            <v>8422.9</v>
          </cell>
        </row>
        <row r="26">
          <cell r="G26">
            <v>1043.56</v>
          </cell>
        </row>
        <row r="28">
          <cell r="G28">
            <v>328942.61</v>
          </cell>
        </row>
        <row r="32">
          <cell r="G32">
            <v>12293.95</v>
          </cell>
        </row>
        <row r="35">
          <cell r="G35">
            <v>12439.96</v>
          </cell>
        </row>
        <row r="38">
          <cell r="G38">
            <v>49568.95</v>
          </cell>
        </row>
        <row r="39">
          <cell r="G39">
            <v>43218.84</v>
          </cell>
        </row>
        <row r="41">
          <cell r="G41">
            <v>4291.2700000000004</v>
          </cell>
        </row>
      </sheetData>
      <sheetData sheetId="8">
        <row r="2">
          <cell r="E2">
            <v>88109.46</v>
          </cell>
        </row>
        <row r="3">
          <cell r="E3">
            <v>11461.79</v>
          </cell>
        </row>
        <row r="5">
          <cell r="E5">
            <v>17311.73</v>
          </cell>
        </row>
        <row r="6">
          <cell r="B6">
            <v>437802.01</v>
          </cell>
        </row>
        <row r="7">
          <cell r="B7">
            <v>73005.62</v>
          </cell>
          <cell r="E7">
            <v>1227024.3099999998</v>
          </cell>
        </row>
        <row r="9">
          <cell r="B9">
            <v>28552.21</v>
          </cell>
        </row>
        <row r="10">
          <cell r="B10">
            <v>15515.79</v>
          </cell>
        </row>
        <row r="11">
          <cell r="B11">
            <v>648401.06000000006</v>
          </cell>
        </row>
        <row r="12">
          <cell r="B12">
            <v>47526.630000000005</v>
          </cell>
        </row>
        <row r="14">
          <cell r="B14">
            <v>4426.78</v>
          </cell>
        </row>
        <row r="15">
          <cell r="B15">
            <v>339.54</v>
          </cell>
        </row>
        <row r="16">
          <cell r="B16">
            <v>150200.19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entações Iniciais"/>
      <sheetName val="Mapa Estratégico e ODS"/>
      <sheetName val="Indicadores e Metas"/>
      <sheetName val="Quadro Geral"/>
      <sheetName val="Anexo 1. Fontes e Aplicações"/>
      <sheetName val="Anexo 2. Limites Estratégicos"/>
      <sheetName val="Anexo 3. Elemento de Despesas"/>
      <sheetName val="Validação de dados"/>
      <sheetName val="Diretrizes - Resumo"/>
      <sheetName val="Matriz de Obj. Estrat.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D8">
            <v>1380812.46</v>
          </cell>
        </row>
        <row r="9">
          <cell r="D9">
            <v>1188510.29</v>
          </cell>
        </row>
        <row r="10">
          <cell r="D10">
            <v>553426.72</v>
          </cell>
        </row>
        <row r="11">
          <cell r="D11">
            <v>502027.89</v>
          </cell>
        </row>
        <row r="12">
          <cell r="D12">
            <v>435012.93</v>
          </cell>
        </row>
        <row r="13">
          <cell r="D13">
            <v>67014.960000000006</v>
          </cell>
        </row>
        <row r="14">
          <cell r="D14">
            <v>51398.83</v>
          </cell>
        </row>
        <row r="15">
          <cell r="D15">
            <v>38758.58</v>
          </cell>
        </row>
        <row r="16">
          <cell r="D16">
            <v>12640.25</v>
          </cell>
        </row>
        <row r="17">
          <cell r="D17">
            <v>585134.67000000004</v>
          </cell>
        </row>
        <row r="18">
          <cell r="D18">
            <v>49948.9</v>
          </cell>
        </row>
        <row r="19">
          <cell r="D19">
            <v>15000</v>
          </cell>
        </row>
        <row r="20">
          <cell r="D20">
            <v>4426.78</v>
          </cell>
        </row>
        <row r="21">
          <cell r="D21">
            <v>172875.39</v>
          </cell>
        </row>
        <row r="22">
          <cell r="D22">
            <v>162900</v>
          </cell>
        </row>
        <row r="23">
          <cell r="D23">
            <v>162900</v>
          </cell>
        </row>
        <row r="24">
          <cell r="D24">
            <v>0</v>
          </cell>
        </row>
        <row r="25">
          <cell r="D25">
            <v>1543712.46</v>
          </cell>
        </row>
        <row r="27">
          <cell r="D27">
            <v>1415980.33</v>
          </cell>
        </row>
        <row r="28">
          <cell r="D28">
            <v>65796.11</v>
          </cell>
        </row>
        <row r="29">
          <cell r="D29">
            <v>147900</v>
          </cell>
        </row>
        <row r="30">
          <cell r="D30">
            <v>1202284.22</v>
          </cell>
        </row>
        <row r="31">
          <cell r="D31">
            <v>21580.14</v>
          </cell>
        </row>
        <row r="32">
          <cell r="D32">
            <v>104151.99</v>
          </cell>
        </row>
        <row r="33">
          <cell r="D33">
            <v>2000</v>
          </cell>
        </row>
        <row r="34">
          <cell r="D34">
            <v>1543712.46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entações Iniciais"/>
      <sheetName val="Mapa Estratégico e ODS"/>
      <sheetName val="Indicadores e Metas"/>
      <sheetName val="Quadro Geral"/>
      <sheetName val="Anexo 1. Fontes e Aplicações"/>
      <sheetName val="Anexo 2. Limites Estratégicos"/>
      <sheetName val="Anexo 3. Elemento de Despesas"/>
      <sheetName val="Validação de dados"/>
      <sheetName val="Diretrizes - Resumo"/>
      <sheetName val="Matriz de Obj. Estrat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0">
          <cell r="F40">
            <v>1528712.46</v>
          </cell>
        </row>
        <row r="41">
          <cell r="F41">
            <v>15000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10"/>
  <sheetViews>
    <sheetView showGridLines="0" workbookViewId="0">
      <selection activeCell="B3" sqref="B3:I3"/>
    </sheetView>
  </sheetViews>
  <sheetFormatPr defaultColWidth="8.88671875" defaultRowHeight="14.4"/>
  <cols>
    <col min="1" max="1" width="3.6640625" customWidth="1"/>
    <col min="2" max="8" width="10.44140625" customWidth="1"/>
    <col min="9" max="9" width="21.33203125" customWidth="1"/>
  </cols>
  <sheetData>
    <row r="1" spans="2:9">
      <c r="B1" s="289" t="s">
        <v>368</v>
      </c>
      <c r="C1" s="290"/>
      <c r="D1" s="290"/>
      <c r="E1" s="290"/>
      <c r="F1" s="290"/>
      <c r="G1" s="290"/>
      <c r="H1" s="290"/>
      <c r="I1" s="291"/>
    </row>
    <row r="2" spans="2:9" ht="21" customHeight="1" thickBot="1">
      <c r="B2" s="292"/>
      <c r="C2" s="293"/>
      <c r="D2" s="293"/>
      <c r="E2" s="293"/>
      <c r="F2" s="293"/>
      <c r="G2" s="293"/>
      <c r="H2" s="293"/>
      <c r="I2" s="294"/>
    </row>
    <row r="3" spans="2:9" s="176" customFormat="1" ht="45.75" customHeight="1" thickBot="1">
      <c r="B3" s="286" t="s">
        <v>371</v>
      </c>
      <c r="C3" s="287"/>
      <c r="D3" s="287"/>
      <c r="E3" s="287"/>
      <c r="F3" s="287"/>
      <c r="G3" s="287"/>
      <c r="H3" s="287"/>
      <c r="I3" s="288"/>
    </row>
    <row r="4" spans="2:9" s="176" customFormat="1" ht="45.75" customHeight="1" thickBot="1">
      <c r="B4" s="295" t="s">
        <v>372</v>
      </c>
      <c r="C4" s="296"/>
      <c r="D4" s="296"/>
      <c r="E4" s="296"/>
      <c r="F4" s="296"/>
      <c r="G4" s="296"/>
      <c r="H4" s="296"/>
      <c r="I4" s="297"/>
    </row>
    <row r="5" spans="2:9" s="176" customFormat="1" ht="86.25" customHeight="1" thickBot="1">
      <c r="B5" s="295" t="s">
        <v>369</v>
      </c>
      <c r="C5" s="296"/>
      <c r="D5" s="296"/>
      <c r="E5" s="296"/>
      <c r="F5" s="296"/>
      <c r="G5" s="296"/>
      <c r="H5" s="296"/>
      <c r="I5" s="297"/>
    </row>
    <row r="6" spans="2:9" s="176" customFormat="1" ht="45.75" customHeight="1" thickBot="1">
      <c r="B6" s="295" t="s">
        <v>370</v>
      </c>
      <c r="C6" s="296"/>
      <c r="D6" s="296"/>
      <c r="E6" s="296"/>
      <c r="F6" s="296"/>
      <c r="G6" s="296"/>
      <c r="H6" s="296"/>
      <c r="I6" s="297"/>
    </row>
    <row r="7" spans="2:9" s="176" customFormat="1" ht="45.75" customHeight="1" thickBot="1">
      <c r="B7" s="286" t="s">
        <v>373</v>
      </c>
      <c r="C7" s="287"/>
      <c r="D7" s="287"/>
      <c r="E7" s="287"/>
      <c r="F7" s="287"/>
      <c r="G7" s="287"/>
      <c r="H7" s="287"/>
      <c r="I7" s="288"/>
    </row>
    <row r="8" spans="2:9" ht="52.5" customHeight="1"/>
    <row r="9" spans="2:9" ht="20.399999999999999">
      <c r="B9" s="177"/>
    </row>
    <row r="10" spans="2:9">
      <c r="B10" s="178"/>
    </row>
  </sheetData>
  <mergeCells count="6">
    <mergeCell ref="B7:I7"/>
    <mergeCell ref="B1:I2"/>
    <mergeCell ref="B3:I3"/>
    <mergeCell ref="B4:I4"/>
    <mergeCell ref="B5:I5"/>
    <mergeCell ref="B6:I6"/>
  </mergeCells>
  <pageMargins left="0.511811024" right="0.511811024" top="0.78740157499999996" bottom="0.78740157499999996" header="0.31496062000000002" footer="0.31496062000000002"/>
  <pageSetup paperSize="28" scale="7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E6AD8-1B1F-4A00-AA0D-1DC1DA3E5A8F}">
  <sheetPr>
    <tabColor rgb="FFFFFF00"/>
    <pageSetUpPr fitToPage="1"/>
  </sheetPr>
  <dimension ref="A1:R59"/>
  <sheetViews>
    <sheetView showGridLines="0" topLeftCell="A2" zoomScale="91" zoomScaleNormal="91" zoomScaleSheetLayoutView="80" workbookViewId="0">
      <selection activeCell="E15" sqref="E15"/>
    </sheetView>
  </sheetViews>
  <sheetFormatPr defaultColWidth="9.109375" defaultRowHeight="15.6" zeroHeight="1"/>
  <cols>
    <col min="1" max="1" width="47" style="126" customWidth="1"/>
    <col min="2" max="2" width="21.44140625" style="126" customWidth="1"/>
    <col min="3" max="3" width="24.44140625" style="126" customWidth="1"/>
    <col min="4" max="4" width="19.6640625" style="126" customWidth="1"/>
    <col min="5" max="5" width="15.44140625" style="126" bestFit="1" customWidth="1"/>
    <col min="6" max="6" width="19.33203125" style="126" bestFit="1" customWidth="1"/>
    <col min="7" max="7" width="13.6640625" style="126" bestFit="1" customWidth="1"/>
    <col min="8" max="8" width="19.6640625" style="126" customWidth="1"/>
    <col min="9" max="9" width="8" style="126" bestFit="1" customWidth="1"/>
    <col min="10" max="10" width="18.109375" style="133" customWidth="1"/>
    <col min="11" max="11" width="14.33203125" style="133" bestFit="1" customWidth="1"/>
    <col min="12" max="12" width="13.5546875" style="133" bestFit="1" customWidth="1"/>
    <col min="13" max="13" width="18.33203125" style="133" customWidth="1"/>
    <col min="14" max="14" width="14.33203125" style="133" bestFit="1" customWidth="1"/>
    <col min="15" max="15" width="13.6640625" style="133" bestFit="1" customWidth="1"/>
    <col min="16" max="21" width="9.109375" style="133" customWidth="1"/>
    <col min="22" max="16384" width="9.109375" style="133"/>
  </cols>
  <sheetData>
    <row r="1" spans="1:18" ht="118.5" hidden="1" customHeight="1">
      <c r="A1" s="471" t="s">
        <v>414</v>
      </c>
      <c r="B1" s="471"/>
      <c r="C1" s="471"/>
      <c r="D1" s="471"/>
      <c r="E1" s="471"/>
      <c r="F1" s="471"/>
      <c r="G1" s="471"/>
      <c r="H1" s="471"/>
      <c r="I1" s="472"/>
    </row>
    <row r="2" spans="1:18" ht="27.75" customHeight="1">
      <c r="A2" s="372" t="str">
        <f>'[3]Indicadores e Metas'!A2:F2</f>
        <v>CAU/UF:  CAU/SE</v>
      </c>
      <c r="B2" s="373"/>
      <c r="C2" s="373"/>
      <c r="D2" s="373"/>
      <c r="E2" s="373"/>
      <c r="F2" s="373"/>
      <c r="G2" s="373"/>
      <c r="H2" s="373"/>
      <c r="I2" s="374"/>
    </row>
    <row r="3" spans="1:18" s="134" customFormat="1" ht="53.25" customHeight="1">
      <c r="A3" s="372" t="s">
        <v>415</v>
      </c>
      <c r="B3" s="373"/>
      <c r="C3" s="373"/>
      <c r="D3" s="373"/>
      <c r="E3" s="373"/>
      <c r="F3" s="373"/>
      <c r="G3" s="373"/>
      <c r="H3" s="373"/>
      <c r="I3" s="374"/>
    </row>
    <row r="4" spans="1:18" s="134" customFormat="1">
      <c r="A4" s="365"/>
      <c r="B4" s="365"/>
      <c r="C4" s="365"/>
      <c r="D4" s="365"/>
      <c r="E4" s="365"/>
      <c r="F4" s="365"/>
      <c r="G4" s="365"/>
      <c r="H4" s="129" t="s">
        <v>13</v>
      </c>
      <c r="I4" s="127"/>
    </row>
    <row r="5" spans="1:18" ht="15.75" customHeight="1">
      <c r="A5" s="375" t="s">
        <v>4</v>
      </c>
      <c r="B5" s="376"/>
      <c r="C5" s="370" t="s">
        <v>416</v>
      </c>
      <c r="D5" s="473" t="s">
        <v>417</v>
      </c>
      <c r="E5" s="474"/>
      <c r="F5" s="475"/>
      <c r="G5" s="358" t="s">
        <v>418</v>
      </c>
      <c r="H5" s="358"/>
      <c r="I5" s="380" t="s">
        <v>419</v>
      </c>
    </row>
    <row r="6" spans="1:18" ht="68.25" customHeight="1">
      <c r="A6" s="377"/>
      <c r="B6" s="378"/>
      <c r="C6" s="371"/>
      <c r="D6" s="209" t="s">
        <v>420</v>
      </c>
      <c r="E6" s="209" t="s">
        <v>421</v>
      </c>
      <c r="F6" s="210" t="s">
        <v>422</v>
      </c>
      <c r="G6" s="11" t="s">
        <v>423</v>
      </c>
      <c r="H6" s="211" t="s">
        <v>424</v>
      </c>
      <c r="I6" s="380"/>
    </row>
    <row r="7" spans="1:18" ht="20.25" customHeight="1">
      <c r="A7" s="379" t="s">
        <v>425</v>
      </c>
      <c r="B7" s="379"/>
      <c r="C7" s="164"/>
      <c r="D7" s="164"/>
      <c r="E7" s="164"/>
      <c r="F7" s="164"/>
      <c r="G7" s="164"/>
      <c r="H7" s="165"/>
      <c r="I7" s="165"/>
      <c r="J7" s="476" t="s">
        <v>426</v>
      </c>
      <c r="K7" s="477"/>
      <c r="L7" s="477"/>
      <c r="M7" s="477"/>
      <c r="N7" s="477"/>
      <c r="O7" s="477"/>
      <c r="P7" s="477"/>
      <c r="Q7" s="477"/>
      <c r="R7" s="477"/>
    </row>
    <row r="8" spans="1:18" ht="20.25" customHeight="1">
      <c r="A8" s="369" t="s">
        <v>5</v>
      </c>
      <c r="B8" s="369"/>
      <c r="C8" s="124">
        <f>C9+C19+C20+C21</f>
        <v>1380812.46</v>
      </c>
      <c r="D8" s="124">
        <f>D9+D19+D20+D21</f>
        <v>780559.98999999987</v>
      </c>
      <c r="E8" s="212">
        <f>E9+E19+E20+E21</f>
        <v>677209.84000000008</v>
      </c>
      <c r="F8" s="212">
        <f>F9+F19+F20+F21</f>
        <v>1457769.8299999998</v>
      </c>
      <c r="G8" s="124">
        <f>F8-C8</f>
        <v>76957.369999999879</v>
      </c>
      <c r="H8" s="125">
        <f>IFERROR(G8/C8*100,)</f>
        <v>5.5733397712821828</v>
      </c>
      <c r="I8" s="125">
        <f>IFERROR(F8/$F$25*100,0)</f>
        <v>62.104910622908648</v>
      </c>
      <c r="J8" s="207" t="b">
        <f>C8='[4]Anexo 1. Fontes e Aplicações'!D8</f>
        <v>1</v>
      </c>
      <c r="K8" s="207"/>
    </row>
    <row r="9" spans="1:18" ht="20.25" customHeight="1">
      <c r="A9" s="368" t="s">
        <v>54</v>
      </c>
      <c r="B9" s="368"/>
      <c r="C9" s="124">
        <f>C10+C17+C18</f>
        <v>1188510.29</v>
      </c>
      <c r="D9" s="124">
        <f>D10+D17+D18</f>
        <v>683480.92999999993</v>
      </c>
      <c r="E9" s="212">
        <f>E10+E17+E18</f>
        <v>567322.39</v>
      </c>
      <c r="F9" s="212">
        <f>F10+F17+F18</f>
        <v>1250803.3199999998</v>
      </c>
      <c r="G9" s="124">
        <f t="shared" ref="G9:G25" si="0">F9-C9</f>
        <v>62293.029999999795</v>
      </c>
      <c r="H9" s="125">
        <f t="shared" ref="H9:H25" si="1">IFERROR(G9/C9*100,)</f>
        <v>5.2412697243033373</v>
      </c>
      <c r="I9" s="125">
        <f t="shared" ref="I9:I25" si="2">IFERROR(F9/$F$25*100,0)</f>
        <v>53.287581342959612</v>
      </c>
      <c r="J9" s="207" t="b">
        <f>C9='[4]Anexo 1. Fontes e Aplicações'!D9</f>
        <v>1</v>
      </c>
      <c r="K9" s="207"/>
    </row>
    <row r="10" spans="1:18" ht="20.25" customHeight="1">
      <c r="A10" s="368" t="s">
        <v>6</v>
      </c>
      <c r="B10" s="368"/>
      <c r="C10" s="124">
        <f>C11+C14</f>
        <v>553426.72</v>
      </c>
      <c r="D10" s="124">
        <f>D11+D14</f>
        <v>328760.85000000003</v>
      </c>
      <c r="E10" s="212">
        <f>E11+E14</f>
        <v>226114.77999999997</v>
      </c>
      <c r="F10" s="212">
        <f>F11+F14</f>
        <v>554875.63</v>
      </c>
      <c r="G10" s="124">
        <f t="shared" si="0"/>
        <v>1448.9100000000326</v>
      </c>
      <c r="H10" s="125">
        <f t="shared" si="1"/>
        <v>0.26180701936473771</v>
      </c>
      <c r="I10" s="125">
        <f t="shared" si="2"/>
        <v>23.639192346284275</v>
      </c>
      <c r="J10" s="207" t="b">
        <f>C10='[4]Anexo 1. Fontes e Aplicações'!D10</f>
        <v>1</v>
      </c>
      <c r="K10" s="207"/>
    </row>
    <row r="11" spans="1:18" ht="20.25" customHeight="1">
      <c r="A11" s="368" t="s">
        <v>7</v>
      </c>
      <c r="B11" s="368"/>
      <c r="C11" s="121">
        <f>SUM(C12:C13)</f>
        <v>502027.89</v>
      </c>
      <c r="D11" s="121">
        <f>SUM(D12:D13)</f>
        <v>313887.59000000003</v>
      </c>
      <c r="E11" s="213">
        <f>SUM(E12:E13)</f>
        <v>196920.03999999998</v>
      </c>
      <c r="F11" s="213">
        <f>SUM(F12:F13)</f>
        <v>510807.63</v>
      </c>
      <c r="G11" s="124">
        <f t="shared" si="0"/>
        <v>8779.7399999999907</v>
      </c>
      <c r="H11" s="125">
        <f t="shared" si="1"/>
        <v>1.7488550287514886</v>
      </c>
      <c r="I11" s="125">
        <f t="shared" si="2"/>
        <v>21.761777170714115</v>
      </c>
      <c r="J11" s="207" t="b">
        <f>C11='[4]Anexo 1. Fontes e Aplicações'!D11</f>
        <v>1</v>
      </c>
      <c r="K11" s="207"/>
    </row>
    <row r="12" spans="1:18" ht="20.25" customHeight="1">
      <c r="A12" s="367" t="s">
        <v>178</v>
      </c>
      <c r="B12" s="367"/>
      <c r="C12" s="7">
        <v>435012.93</v>
      </c>
      <c r="D12" s="7">
        <f>'[3]Comparativo de Receita'!G21</f>
        <v>256587.14</v>
      </c>
      <c r="E12" s="214">
        <f>437802.01-D12</f>
        <v>181214.87</v>
      </c>
      <c r="F12" s="215">
        <f>SUM(D12:E12)</f>
        <v>437802.01</v>
      </c>
      <c r="G12" s="124">
        <f t="shared" si="0"/>
        <v>2789.0800000000163</v>
      </c>
      <c r="H12" s="125">
        <f t="shared" si="1"/>
        <v>0.64114875849782593</v>
      </c>
      <c r="I12" s="125">
        <f t="shared" si="2"/>
        <v>18.651541650837817</v>
      </c>
      <c r="J12" s="207" t="b">
        <f>C12='[4]Anexo 1. Fontes e Aplicações'!D12</f>
        <v>1</v>
      </c>
      <c r="K12" s="207" t="b">
        <f>F12='[3]Resumo 2022'!B6</f>
        <v>1</v>
      </c>
    </row>
    <row r="13" spans="1:18" ht="20.25" customHeight="1">
      <c r="A13" s="367" t="s">
        <v>52</v>
      </c>
      <c r="B13" s="367"/>
      <c r="C13" s="7">
        <v>67014.960000000006</v>
      </c>
      <c r="D13" s="7">
        <f>'[3]Comparativo de Receita'!G22</f>
        <v>57300.45</v>
      </c>
      <c r="E13" s="214">
        <f>73005.62-D13</f>
        <v>15705.169999999998</v>
      </c>
      <c r="F13" s="215">
        <f>SUM(D13:E13)</f>
        <v>73005.62</v>
      </c>
      <c r="G13" s="124">
        <f t="shared" si="0"/>
        <v>5990.6599999999889</v>
      </c>
      <c r="H13" s="125">
        <f t="shared" si="1"/>
        <v>8.9392875859360199</v>
      </c>
      <c r="I13" s="125">
        <f t="shared" si="2"/>
        <v>3.1102355198762979</v>
      </c>
      <c r="J13" s="207" t="b">
        <f>C13='[4]Anexo 1. Fontes e Aplicações'!D13</f>
        <v>1</v>
      </c>
      <c r="K13" s="207" t="b">
        <f>F13='[3]Resumo 2022'!B7</f>
        <v>1</v>
      </c>
    </row>
    <row r="14" spans="1:18" ht="20.25" customHeight="1">
      <c r="A14" s="368" t="s">
        <v>8</v>
      </c>
      <c r="B14" s="368"/>
      <c r="C14" s="124">
        <f>SUM(C15:C16)</f>
        <v>51398.83</v>
      </c>
      <c r="D14" s="124">
        <f>SUM(D15:D16)</f>
        <v>14873.259999999998</v>
      </c>
      <c r="E14" s="212">
        <f>SUM(E15:E16)</f>
        <v>29194.739999999998</v>
      </c>
      <c r="F14" s="212">
        <f>SUM(F15:F16)</f>
        <v>44068</v>
      </c>
      <c r="G14" s="124">
        <f t="shared" si="0"/>
        <v>-7330.8300000000017</v>
      </c>
      <c r="H14" s="125">
        <f t="shared" si="1"/>
        <v>-14.262639830517546</v>
      </c>
      <c r="I14" s="125">
        <f t="shared" si="2"/>
        <v>1.8774151755701642</v>
      </c>
      <c r="J14" s="207" t="b">
        <f>C14='[4]Anexo 1. Fontes e Aplicações'!D14</f>
        <v>1</v>
      </c>
      <c r="K14" s="207"/>
    </row>
    <row r="15" spans="1:18" ht="20.25" customHeight="1">
      <c r="A15" s="367" t="s">
        <v>179</v>
      </c>
      <c r="B15" s="367"/>
      <c r="C15" s="216">
        <v>38758.58</v>
      </c>
      <c r="D15" s="216">
        <f>'[3]Comparativo de Receita'!G23</f>
        <v>6450.36</v>
      </c>
      <c r="E15" s="217">
        <f>28552.21-D15</f>
        <v>22101.85</v>
      </c>
      <c r="F15" s="218">
        <f>SUM(D15:E15)</f>
        <v>28552.21</v>
      </c>
      <c r="G15" s="124">
        <f t="shared" si="0"/>
        <v>-10206.370000000003</v>
      </c>
      <c r="H15" s="125">
        <f t="shared" si="1"/>
        <v>-26.333188677190968</v>
      </c>
      <c r="I15" s="125">
        <f t="shared" si="2"/>
        <v>1.2164008430168423</v>
      </c>
      <c r="J15" s="207" t="b">
        <f>C15='[4]Anexo 1. Fontes e Aplicações'!D15</f>
        <v>1</v>
      </c>
      <c r="K15" s="207" t="b">
        <f>F15='[3]Resumo 2022'!B9</f>
        <v>1</v>
      </c>
    </row>
    <row r="16" spans="1:18" ht="20.25" customHeight="1">
      <c r="A16" s="367" t="s">
        <v>53</v>
      </c>
      <c r="B16" s="367"/>
      <c r="C16" s="216">
        <v>12640.25</v>
      </c>
      <c r="D16" s="216">
        <f>'[3]Comparativo de Receita'!G24</f>
        <v>8422.9</v>
      </c>
      <c r="E16" s="217">
        <f>15515.79-D16</f>
        <v>7092.8900000000012</v>
      </c>
      <c r="F16" s="218">
        <f t="shared" ref="F16:F24" si="3">SUM(D16:E16)</f>
        <v>15515.79</v>
      </c>
      <c r="G16" s="124">
        <f t="shared" si="0"/>
        <v>2875.5400000000009</v>
      </c>
      <c r="H16" s="125">
        <f t="shared" si="1"/>
        <v>22.749075374300357</v>
      </c>
      <c r="I16" s="125">
        <f t="shared" si="2"/>
        <v>0.6610143325533222</v>
      </c>
      <c r="J16" s="207" t="b">
        <f>C16='[4]Anexo 1. Fontes e Aplicações'!D16</f>
        <v>1</v>
      </c>
      <c r="K16" s="207" t="b">
        <f>F16='[3]Resumo 2022'!B10</f>
        <v>1</v>
      </c>
    </row>
    <row r="17" spans="1:15" ht="20.25" customHeight="1">
      <c r="A17" s="366" t="s">
        <v>49</v>
      </c>
      <c r="B17" s="366"/>
      <c r="C17" s="219">
        <v>585134.67000000004</v>
      </c>
      <c r="D17" s="219">
        <f>'[3]Comparativo de Receita'!G28</f>
        <v>328942.61</v>
      </c>
      <c r="E17" s="220">
        <f>648401.06-D17</f>
        <v>319458.45000000007</v>
      </c>
      <c r="F17" s="221">
        <f t="shared" si="3"/>
        <v>648401.06000000006</v>
      </c>
      <c r="G17" s="124">
        <f t="shared" si="0"/>
        <v>63266.390000000014</v>
      </c>
      <c r="H17" s="125">
        <f t="shared" si="1"/>
        <v>10.81227847941398</v>
      </c>
      <c r="I17" s="125">
        <f t="shared" si="2"/>
        <v>27.623626892524751</v>
      </c>
      <c r="J17" s="207" t="b">
        <f>C17='[4]Anexo 1. Fontes e Aplicações'!D17</f>
        <v>1</v>
      </c>
      <c r="K17" s="207" t="b">
        <f>F17='[3]Resumo 2022'!B11</f>
        <v>1</v>
      </c>
    </row>
    <row r="18" spans="1:15" ht="20.25" customHeight="1">
      <c r="A18" s="366" t="s">
        <v>122</v>
      </c>
      <c r="B18" s="366"/>
      <c r="C18" s="219">
        <v>49948.9</v>
      </c>
      <c r="D18" s="219">
        <f>'[3]Comparativo de Receita'!G35+'[3]Comparativo de Receita'!G26+'[3]Comparativo de Receita'!G32</f>
        <v>25777.47</v>
      </c>
      <c r="E18" s="220">
        <f>47526.63-D18</f>
        <v>21749.159999999996</v>
      </c>
      <c r="F18" s="221">
        <f t="shared" si="3"/>
        <v>47526.63</v>
      </c>
      <c r="G18" s="124">
        <f t="shared" si="0"/>
        <v>-2422.2700000000041</v>
      </c>
      <c r="H18" s="125">
        <f t="shared" si="1"/>
        <v>-4.8494961851011809</v>
      </c>
      <c r="I18" s="125">
        <f t="shared" si="2"/>
        <v>2.0247621041505908</v>
      </c>
      <c r="J18" s="207" t="b">
        <f>C18='[4]Anexo 1. Fontes e Aplicações'!D18</f>
        <v>1</v>
      </c>
      <c r="K18" s="207" t="b">
        <f>F18='[3]Resumo 2022'!B12</f>
        <v>1</v>
      </c>
    </row>
    <row r="19" spans="1:15" ht="20.25" customHeight="1">
      <c r="A19" s="366" t="s">
        <v>9</v>
      </c>
      <c r="B19" s="366"/>
      <c r="C19" s="219">
        <v>15000</v>
      </c>
      <c r="D19" s="219">
        <f>'[3]Comparativo de Receita'!G38</f>
        <v>49568.95</v>
      </c>
      <c r="E19" s="220">
        <f>52000-D19</f>
        <v>2431.0500000000029</v>
      </c>
      <c r="F19" s="221">
        <f t="shared" si="3"/>
        <v>52000</v>
      </c>
      <c r="G19" s="124">
        <f t="shared" si="0"/>
        <v>37000</v>
      </c>
      <c r="H19" s="125">
        <f t="shared" si="1"/>
        <v>246.66666666666669</v>
      </c>
      <c r="I19" s="125">
        <f t="shared" si="2"/>
        <v>2.2153396825281053</v>
      </c>
      <c r="J19" s="207" t="b">
        <f>C19='[4]Anexo 1. Fontes e Aplicações'!D19</f>
        <v>1</v>
      </c>
      <c r="K19" s="207"/>
    </row>
    <row r="20" spans="1:15" ht="20.25" customHeight="1">
      <c r="A20" s="366" t="s">
        <v>110</v>
      </c>
      <c r="B20" s="366"/>
      <c r="C20" s="13">
        <v>4426.78</v>
      </c>
      <c r="D20" s="13">
        <f>'[3]Comparativo de Receita'!G41</f>
        <v>4291.2700000000004</v>
      </c>
      <c r="E20" s="222">
        <f>(339.54+4426.78)-D20</f>
        <v>475.04999999999927</v>
      </c>
      <c r="F20" s="223">
        <f t="shared" si="3"/>
        <v>4766.32</v>
      </c>
      <c r="G20" s="124">
        <f t="shared" si="0"/>
        <v>339.53999999999996</v>
      </c>
      <c r="H20" s="125">
        <f t="shared" si="1"/>
        <v>7.6701349513641963</v>
      </c>
      <c r="I20" s="125">
        <f t="shared" si="2"/>
        <v>0.20305803530052616</v>
      </c>
      <c r="J20" s="207" t="b">
        <f>C20='[4]Anexo 1. Fontes e Aplicações'!D20</f>
        <v>1</v>
      </c>
      <c r="K20" s="224">
        <f>'[3]Resumo 2022'!B14+'[3]Resumo 2022'!B15</f>
        <v>4766.32</v>
      </c>
      <c r="L20" s="207" t="b">
        <f>K20=F20</f>
        <v>1</v>
      </c>
    </row>
    <row r="21" spans="1:15" ht="20.25" customHeight="1">
      <c r="A21" s="366" t="s">
        <v>10</v>
      </c>
      <c r="B21" s="366"/>
      <c r="C21" s="13">
        <v>172875.39</v>
      </c>
      <c r="D21" s="13">
        <f>'[3]Comparativo de Receita'!G39</f>
        <v>43218.84</v>
      </c>
      <c r="E21" s="222">
        <f>150200.19-D21</f>
        <v>106981.35</v>
      </c>
      <c r="F21" s="223">
        <f t="shared" si="3"/>
        <v>150200.19</v>
      </c>
      <c r="G21" s="124">
        <f t="shared" si="0"/>
        <v>-22675.200000000012</v>
      </c>
      <c r="H21" s="125">
        <f t="shared" si="1"/>
        <v>-13.116499693796793</v>
      </c>
      <c r="I21" s="125">
        <f t="shared" si="2"/>
        <v>6.3989315621204064</v>
      </c>
      <c r="J21" s="207" t="b">
        <f>C21='[4]Anexo 1. Fontes e Aplicações'!D21</f>
        <v>1</v>
      </c>
      <c r="K21" s="207" t="b">
        <f>F21='[3]Resumo 2022'!B16</f>
        <v>1</v>
      </c>
    </row>
    <row r="22" spans="1:15" ht="20.25" customHeight="1">
      <c r="A22" s="369" t="s">
        <v>232</v>
      </c>
      <c r="B22" s="369"/>
      <c r="C22" s="124">
        <f>SUM(C23:C24)</f>
        <v>162900</v>
      </c>
      <c r="D22" s="225">
        <f>SUM(D23:D24)</f>
        <v>2490</v>
      </c>
      <c r="E22" s="212">
        <f>SUM(E23:E24)</f>
        <v>887010</v>
      </c>
      <c r="F22" s="212">
        <f>SUM(F23:F24)</f>
        <v>889500</v>
      </c>
      <c r="G22" s="124">
        <f t="shared" si="0"/>
        <v>726600</v>
      </c>
      <c r="H22" s="125">
        <f t="shared" si="1"/>
        <v>446.04051565377529</v>
      </c>
      <c r="I22" s="125">
        <f t="shared" si="2"/>
        <v>37.895089377091338</v>
      </c>
      <c r="J22" s="207" t="b">
        <f>C22='[4]Anexo 1. Fontes e Aplicações'!D22</f>
        <v>1</v>
      </c>
      <c r="K22" s="207"/>
    </row>
    <row r="23" spans="1:15" ht="20.25" customHeight="1">
      <c r="A23" s="366" t="s">
        <v>11</v>
      </c>
      <c r="B23" s="366"/>
      <c r="C23" s="13">
        <v>162900</v>
      </c>
      <c r="D23" s="13">
        <v>2490</v>
      </c>
      <c r="E23" s="222">
        <f>((C23-23400)+15000+735000)-D23</f>
        <v>887010</v>
      </c>
      <c r="F23" s="223">
        <f t="shared" si="3"/>
        <v>889500</v>
      </c>
      <c r="G23" s="124">
        <f t="shared" si="0"/>
        <v>726600</v>
      </c>
      <c r="H23" s="125">
        <f t="shared" si="1"/>
        <v>446.04051565377529</v>
      </c>
      <c r="I23" s="125">
        <f t="shared" si="2"/>
        <v>37.895089377091338</v>
      </c>
      <c r="J23" s="207" t="b">
        <f>C23='[4]Anexo 1. Fontes e Aplicações'!D23</f>
        <v>1</v>
      </c>
      <c r="K23" s="207"/>
    </row>
    <row r="24" spans="1:15" ht="20.25" customHeight="1">
      <c r="A24" s="366" t="s">
        <v>109</v>
      </c>
      <c r="B24" s="366"/>
      <c r="C24" s="13">
        <v>0</v>
      </c>
      <c r="D24" s="13">
        <v>0</v>
      </c>
      <c r="E24" s="222">
        <v>0</v>
      </c>
      <c r="F24" s="223">
        <f t="shared" si="3"/>
        <v>0</v>
      </c>
      <c r="G24" s="124">
        <f t="shared" si="0"/>
        <v>0</v>
      </c>
      <c r="H24" s="125">
        <f t="shared" si="1"/>
        <v>0</v>
      </c>
      <c r="I24" s="125">
        <f t="shared" si="2"/>
        <v>0</v>
      </c>
      <c r="J24" s="207" t="b">
        <f>C24='[4]Anexo 1. Fontes e Aplicações'!D24</f>
        <v>1</v>
      </c>
      <c r="K24" s="207"/>
    </row>
    <row r="25" spans="1:15" ht="20.25" customHeight="1">
      <c r="A25" s="369" t="s">
        <v>12</v>
      </c>
      <c r="B25" s="369"/>
      <c r="C25" s="124">
        <f>SUM(C8,C22)</f>
        <v>1543712.46</v>
      </c>
      <c r="D25" s="225">
        <f>SUM(D8,D22)</f>
        <v>783049.98999999987</v>
      </c>
      <c r="E25" s="212">
        <f>SUM(E8,E22)</f>
        <v>1564219.84</v>
      </c>
      <c r="F25" s="212">
        <f>SUM(F8,F22)</f>
        <v>2347269.83</v>
      </c>
      <c r="G25" s="124">
        <f t="shared" si="0"/>
        <v>803557.37000000011</v>
      </c>
      <c r="H25" s="125">
        <f t="shared" si="1"/>
        <v>52.053565079082155</v>
      </c>
      <c r="I25" s="125">
        <f t="shared" si="2"/>
        <v>100</v>
      </c>
      <c r="J25" s="207" t="b">
        <f>C25='[4]Anexo 1. Fontes e Aplicações'!D25</f>
        <v>1</v>
      </c>
      <c r="K25" s="207"/>
    </row>
    <row r="26" spans="1:15" ht="20.25" customHeight="1">
      <c r="A26" s="379" t="s">
        <v>427</v>
      </c>
      <c r="B26" s="379"/>
      <c r="C26" s="226"/>
      <c r="D26" s="226"/>
      <c r="E26" s="227"/>
      <c r="F26" s="227"/>
      <c r="G26" s="226"/>
      <c r="H26" s="228"/>
      <c r="I26" s="228"/>
      <c r="J26" s="207" t="b">
        <f>C26='[4]Anexo 1. Fontes e Aplicações'!D26</f>
        <v>1</v>
      </c>
      <c r="K26" s="207"/>
    </row>
    <row r="27" spans="1:15" ht="20.25" customHeight="1">
      <c r="A27" s="368" t="s">
        <v>428</v>
      </c>
      <c r="B27" s="368"/>
      <c r="C27" s="124">
        <f>SUM(C28:C30)</f>
        <v>1415980.33</v>
      </c>
      <c r="D27" s="124" t="e">
        <f>SUM(D28:D30)</f>
        <v>#VALUE!</v>
      </c>
      <c r="E27" s="212" t="e">
        <f>SUM(E28:E30)</f>
        <v>#VALUE!</v>
      </c>
      <c r="F27" s="212" t="e">
        <f>SUM(F28:F30)</f>
        <v>#VALUE!</v>
      </c>
      <c r="G27" s="124" t="e">
        <f t="shared" ref="G27:G35" si="4">F27-C27</f>
        <v>#VALUE!</v>
      </c>
      <c r="H27" s="125">
        <f t="shared" ref="H27:H34" si="5">IFERROR(G27/C27*100,)</f>
        <v>0</v>
      </c>
      <c r="I27" s="125">
        <f t="shared" ref="I27:I34" si="6">IFERROR(F27/$F$25*100,0)</f>
        <v>0</v>
      </c>
      <c r="J27" s="207" t="b">
        <f>C27='[4]Anexo 1. Fontes e Aplicações'!D27</f>
        <v>1</v>
      </c>
      <c r="K27" s="207"/>
    </row>
    <row r="28" spans="1:15" ht="20.25" customHeight="1">
      <c r="A28" s="368" t="s">
        <v>429</v>
      </c>
      <c r="B28" s="368"/>
      <c r="C28" s="229">
        <v>65796.11</v>
      </c>
      <c r="D28" s="229" t="e">
        <f>SUMIF('[3]Quadro Geral'!$B$8:$B$26,"p",'[3]Quadro Geral'!$J$8:$J$26)</f>
        <v>#VALUE!</v>
      </c>
      <c r="E28" s="230" t="e">
        <f>SUMIF('[3]Quadro Geral'!$B$8:$B$26,"p",'[3]Quadro Geral'!$K$8:$K$26)</f>
        <v>#VALUE!</v>
      </c>
      <c r="F28" s="230" t="e">
        <f>D28+E28</f>
        <v>#VALUE!</v>
      </c>
      <c r="G28" s="124" t="e">
        <f t="shared" si="4"/>
        <v>#VALUE!</v>
      </c>
      <c r="H28" s="125">
        <f t="shared" si="5"/>
        <v>0</v>
      </c>
      <c r="I28" s="125">
        <f t="shared" si="6"/>
        <v>0</v>
      </c>
      <c r="J28" s="207" t="b">
        <f>C28='[4]Anexo 1. Fontes e Aplicações'!D28</f>
        <v>1</v>
      </c>
      <c r="K28" s="231" t="e">
        <f>SUMIF('[3]Quadro Geral'!$B$8:$B$26,"P",'[3]Quadro Geral'!$I$8:$I$26)</f>
        <v>#VALUE!</v>
      </c>
      <c r="L28" s="231" t="e">
        <f>SUMIF('[3]Quadro Geral'!$B$8:$B$26,"P",'[3]Quadro Geral'!$J$8:$J$26)</f>
        <v>#VALUE!</v>
      </c>
      <c r="M28" s="231" t="e">
        <f>SUMIF('[3]Quadro Geral'!$B$8:$B$26,"P",'[3]Quadro Geral'!$K$8:$K$26)</f>
        <v>#VALUE!</v>
      </c>
      <c r="N28" s="231" t="e">
        <f>SUMIF('[3]Quadro Geral'!$B$8:$B$26,"P",'[3]Quadro Geral'!$L$8:$L$26)</f>
        <v>#VALUE!</v>
      </c>
    </row>
    <row r="29" spans="1:15" ht="20.25" customHeight="1">
      <c r="A29" s="478" t="s">
        <v>430</v>
      </c>
      <c r="B29" s="479"/>
      <c r="C29" s="229">
        <v>147900</v>
      </c>
      <c r="D29" s="229" t="e">
        <f>SUMIF('[3]Quadro Geral'!$B$8:$B$26,"pe",'[3]Quadro Geral'!$J$8:$J$26)</f>
        <v>#VALUE!</v>
      </c>
      <c r="E29" s="230" t="e">
        <f>SUMIF('[3]Quadro Geral'!$B$8:$B$26,"pe",'[3]Quadro Geral'!$K$8:$K$26)</f>
        <v>#VALUE!</v>
      </c>
      <c r="F29" s="230" t="e">
        <f>D29+E29</f>
        <v>#VALUE!</v>
      </c>
      <c r="G29" s="124" t="e">
        <f t="shared" si="4"/>
        <v>#VALUE!</v>
      </c>
      <c r="H29" s="125">
        <f t="shared" si="5"/>
        <v>0</v>
      </c>
      <c r="I29" s="125">
        <f t="shared" si="6"/>
        <v>0</v>
      </c>
      <c r="J29" s="207" t="b">
        <f>C29='[4]Anexo 1. Fontes e Aplicações'!D29</f>
        <v>1</v>
      </c>
      <c r="K29" s="231" t="e">
        <f>SUMIF('[3]Quadro Geral'!$B$8:$B$26,"Pe",'[3]Quadro Geral'!$I$8:$I$26)+SUMIF('[3]Quadro Geral'!$B$8:$B$26,"Pe.",'[3]Quadro Geral'!$I$8:$I$26)</f>
        <v>#VALUE!</v>
      </c>
      <c r="L29" s="231" t="e">
        <f>SUMIF('[3]Quadro Geral'!$B$8:$B$26,"Pe",'[3]Quadro Geral'!$J$8:$J$26)</f>
        <v>#VALUE!</v>
      </c>
      <c r="M29" s="231" t="e">
        <f>SUMIF('[3]Quadro Geral'!$B$8:$B$26,"Pe",'[3]Quadro Geral'!$K$8:$K$26)</f>
        <v>#VALUE!</v>
      </c>
      <c r="N29" s="231" t="e">
        <f>SUMIF('[3]Quadro Geral'!$B$8:$B$26,"Pe",'[3]Quadro Geral'!$L$8:$L$26)</f>
        <v>#VALUE!</v>
      </c>
    </row>
    <row r="30" spans="1:15" ht="20.25" customHeight="1">
      <c r="A30" s="368" t="s">
        <v>431</v>
      </c>
      <c r="B30" s="368"/>
      <c r="C30" s="229">
        <v>1202284.22</v>
      </c>
      <c r="D30" s="229" t="e">
        <f>SUMIF('[3]Quadro Geral'!$B$8:$B$26,"a",'[3]Quadro Geral'!$J$8:$J$26)-D31-D32-D33</f>
        <v>#VALUE!</v>
      </c>
      <c r="E30" s="230" t="e">
        <f>SUMIF('[3]Quadro Geral'!$B$8:$B$26,"a",'[3]Quadro Geral'!$K$8:$K$26)-E31-E32-E33</f>
        <v>#VALUE!</v>
      </c>
      <c r="F30" s="230" t="e">
        <f>D30+E30</f>
        <v>#VALUE!</v>
      </c>
      <c r="G30" s="124" t="e">
        <f t="shared" si="4"/>
        <v>#VALUE!</v>
      </c>
      <c r="H30" s="125">
        <f t="shared" si="5"/>
        <v>0</v>
      </c>
      <c r="I30" s="125">
        <f t="shared" si="6"/>
        <v>0</v>
      </c>
      <c r="J30" s="207" t="b">
        <f>C30='[4]Anexo 1. Fontes e Aplicações'!D30</f>
        <v>1</v>
      </c>
      <c r="K30" s="231" t="e">
        <f>SUMIF('[3]Quadro Geral'!$B$8:$B$26,"a",'[3]Quadro Geral'!$I$8:$I$26)-K31-K32-K33</f>
        <v>#VALUE!</v>
      </c>
      <c r="L30" s="231" t="e">
        <f>SUMIF('[3]Quadro Geral'!$B$8:$B$26,"a",'[3]Quadro Geral'!$J$8:$J$26)-L31-L32-L33</f>
        <v>#VALUE!</v>
      </c>
      <c r="M30" s="231" t="e">
        <f>SUMIF('[3]Quadro Geral'!$B$8:$B$26,"a",'[3]Quadro Geral'!$K$8:$K$26)-M31-M32-M33</f>
        <v>#VALUE!</v>
      </c>
      <c r="N30" s="231" t="e">
        <f>SUMIF('[3]Quadro Geral'!$B$8:$B$26,"a",'[3]Quadro Geral'!$L$8:$L$26)-N31-N32-N33</f>
        <v>#VALUE!</v>
      </c>
    </row>
    <row r="31" spans="1:15" ht="20.25" customHeight="1">
      <c r="A31" s="366" t="s">
        <v>432</v>
      </c>
      <c r="B31" s="366"/>
      <c r="C31" s="219">
        <v>21580.14</v>
      </c>
      <c r="D31" s="219">
        <f>'[3]Quadro Geral'!J16</f>
        <v>8991.75</v>
      </c>
      <c r="E31" s="220">
        <f>'[3]Quadro Geral'!K16</f>
        <v>8319.98</v>
      </c>
      <c r="F31" s="221">
        <f t="shared" ref="F31:F33" si="7">SUM(D31:E31)</f>
        <v>17311.73</v>
      </c>
      <c r="G31" s="124">
        <f t="shared" si="4"/>
        <v>-4268.41</v>
      </c>
      <c r="H31" s="125">
        <f t="shared" si="5"/>
        <v>-19.779343414824925</v>
      </c>
      <c r="I31" s="125">
        <f t="shared" si="6"/>
        <v>0.73752620081177456</v>
      </c>
      <c r="J31" s="207" t="b">
        <f>C31='[4]Anexo 1. Fontes e Aplicações'!D31</f>
        <v>1</v>
      </c>
      <c r="K31" s="231">
        <f>'[3]Quadro Geral'!I16</f>
        <v>21580.14</v>
      </c>
      <c r="L31" s="231">
        <f>'[3]Quadro Geral'!J16</f>
        <v>8991.75</v>
      </c>
      <c r="M31" s="231">
        <f>'[3]Quadro Geral'!K16</f>
        <v>8319.98</v>
      </c>
      <c r="N31" s="231">
        <f>'[3]Quadro Geral'!L16</f>
        <v>17311.73</v>
      </c>
      <c r="O31" s="207" t="b">
        <f>N31='[3]Resumo 2022'!E5</f>
        <v>1</v>
      </c>
    </row>
    <row r="32" spans="1:15" ht="20.25" customHeight="1">
      <c r="A32" s="366" t="s">
        <v>433</v>
      </c>
      <c r="B32" s="366"/>
      <c r="C32" s="219">
        <v>104151.99</v>
      </c>
      <c r="D32" s="219">
        <f>'[3]Quadro Geral'!J13+'[3]Quadro Geral'!J14</f>
        <v>43396.65</v>
      </c>
      <c r="E32" s="220">
        <f>'[3]Quadro Geral'!K13+'[3]Quadro Geral'!K14</f>
        <v>56174.600000000006</v>
      </c>
      <c r="F32" s="221">
        <f t="shared" si="7"/>
        <v>99571.25</v>
      </c>
      <c r="G32" s="124">
        <f t="shared" si="4"/>
        <v>-4580.7400000000052</v>
      </c>
      <c r="H32" s="125">
        <f t="shared" si="5"/>
        <v>-4.3981300789356066</v>
      </c>
      <c r="I32" s="125">
        <f t="shared" si="6"/>
        <v>4.2420027185370506</v>
      </c>
      <c r="J32" s="207" t="b">
        <f>C32='[4]Anexo 1. Fontes e Aplicações'!D32</f>
        <v>1</v>
      </c>
      <c r="K32" s="231">
        <f>'[3]Quadro Geral'!I13+'[3]Quadro Geral'!I14</f>
        <v>104151.99</v>
      </c>
      <c r="L32" s="231">
        <f>'[3]Quadro Geral'!J13+'[3]Quadro Geral'!J14</f>
        <v>43396.65</v>
      </c>
      <c r="M32" s="231">
        <f>'[3]Quadro Geral'!K13+'[3]Quadro Geral'!K14</f>
        <v>56174.600000000006</v>
      </c>
      <c r="N32" s="231">
        <f>'[3]Quadro Geral'!L13+'[3]Quadro Geral'!L14</f>
        <v>99571.25</v>
      </c>
      <c r="O32" s="207" t="b">
        <f>N32='[3]Resumo 2022'!E2+'[3]Resumo 2022'!E3</f>
        <v>1</v>
      </c>
    </row>
    <row r="33" spans="1:15" ht="20.25" customHeight="1">
      <c r="A33" s="366" t="s">
        <v>434</v>
      </c>
      <c r="B33" s="366"/>
      <c r="C33" s="219">
        <v>2000</v>
      </c>
      <c r="D33" s="219">
        <f>'[3]Quadro Geral'!J20</f>
        <v>0</v>
      </c>
      <c r="E33" s="220">
        <f>'[3]Quadro Geral'!K20</f>
        <v>2000</v>
      </c>
      <c r="F33" s="221">
        <f t="shared" si="7"/>
        <v>2000</v>
      </c>
      <c r="G33" s="124">
        <f t="shared" si="4"/>
        <v>0</v>
      </c>
      <c r="H33" s="125">
        <f t="shared" si="5"/>
        <v>0</v>
      </c>
      <c r="I33" s="125">
        <f t="shared" si="6"/>
        <v>8.5205372404927121E-2</v>
      </c>
      <c r="J33" s="207" t="b">
        <f>C33='[4]Anexo 1. Fontes e Aplicações'!D33</f>
        <v>1</v>
      </c>
      <c r="K33" s="231">
        <f>'[3]Quadro Geral'!I20</f>
        <v>2000</v>
      </c>
      <c r="L33" s="231">
        <f>'[3]Quadro Geral'!J20</f>
        <v>0</v>
      </c>
      <c r="M33" s="231">
        <f>'[3]Quadro Geral'!K20</f>
        <v>2000</v>
      </c>
      <c r="N33" s="231">
        <f>'[3]Quadro Geral'!L20</f>
        <v>2000</v>
      </c>
      <c r="O33" s="207" t="b">
        <f>N33=F33</f>
        <v>1</v>
      </c>
    </row>
    <row r="34" spans="1:15" ht="20.25" customHeight="1">
      <c r="A34" s="369" t="s">
        <v>435</v>
      </c>
      <c r="B34" s="369"/>
      <c r="C34" s="124">
        <f>SUM(C27,C31:C33)</f>
        <v>1543712.46</v>
      </c>
      <c r="D34" s="124" t="e">
        <f>SUM(D27,D31:D33)</f>
        <v>#VALUE!</v>
      </c>
      <c r="E34" s="212" t="e">
        <f>SUM(E27,E31:E33)</f>
        <v>#VALUE!</v>
      </c>
      <c r="F34" s="212" t="e">
        <f>SUM(F27,F31:F33)</f>
        <v>#VALUE!</v>
      </c>
      <c r="G34" s="124" t="e">
        <f t="shared" si="4"/>
        <v>#VALUE!</v>
      </c>
      <c r="H34" s="125">
        <f t="shared" si="5"/>
        <v>0</v>
      </c>
      <c r="I34" s="125">
        <f t="shared" si="6"/>
        <v>0</v>
      </c>
      <c r="J34" s="207" t="b">
        <f>C34='[4]Anexo 1. Fontes e Aplicações'!D34</f>
        <v>1</v>
      </c>
      <c r="K34" s="232" t="e">
        <f>SUM(K28:K33)</f>
        <v>#VALUE!</v>
      </c>
      <c r="L34" s="232" t="e">
        <f t="shared" ref="L34:N34" si="8">SUM(L28:L33)</f>
        <v>#VALUE!</v>
      </c>
      <c r="M34" s="232" t="e">
        <f t="shared" si="8"/>
        <v>#VALUE!</v>
      </c>
      <c r="N34" s="232" t="e">
        <f t="shared" si="8"/>
        <v>#VALUE!</v>
      </c>
      <c r="O34" s="207"/>
    </row>
    <row r="35" spans="1:15" ht="20.25" customHeight="1">
      <c r="A35" s="487" t="s">
        <v>436</v>
      </c>
      <c r="B35" s="487"/>
      <c r="C35" s="233">
        <f>C25-C34</f>
        <v>0</v>
      </c>
      <c r="D35" s="233" t="e">
        <f t="shared" ref="D35:E35" si="9">D25-D34</f>
        <v>#VALUE!</v>
      </c>
      <c r="E35" s="233" t="e">
        <f t="shared" si="9"/>
        <v>#VALUE!</v>
      </c>
      <c r="F35" s="225" t="e">
        <f>F25-F34</f>
        <v>#VALUE!</v>
      </c>
      <c r="G35" s="233" t="e">
        <f t="shared" si="4"/>
        <v>#VALUE!</v>
      </c>
      <c r="H35" s="233"/>
      <c r="I35" s="234"/>
      <c r="J35" s="166"/>
      <c r="K35" s="207" t="e">
        <f>K34=C34</f>
        <v>#VALUE!</v>
      </c>
      <c r="L35" s="207" t="e">
        <f t="shared" ref="L35:N35" si="10">L34=D34</f>
        <v>#VALUE!</v>
      </c>
      <c r="M35" s="207" t="e">
        <f t="shared" si="10"/>
        <v>#VALUE!</v>
      </c>
      <c r="N35" s="207" t="e">
        <f t="shared" si="10"/>
        <v>#VALUE!</v>
      </c>
    </row>
    <row r="36" spans="1:15">
      <c r="A36" s="130"/>
      <c r="B36" s="130"/>
      <c r="C36" s="131" t="b">
        <f>C34='[3]Quadro Geral'!I27</f>
        <v>1</v>
      </c>
      <c r="D36" s="131" t="e">
        <f>D34='[3]Quadro Geral'!J27</f>
        <v>#VALUE!</v>
      </c>
      <c r="E36" s="131" t="e">
        <f>E34='[3]Quadro Geral'!K27</f>
        <v>#VALUE!</v>
      </c>
      <c r="F36" s="131" t="e">
        <f>F34='[3]Quadro Geral'!L27</f>
        <v>#VALUE!</v>
      </c>
      <c r="G36" s="131" t="e">
        <f>G34='[3]Quadro Geral'!N27</f>
        <v>#VALUE!</v>
      </c>
      <c r="H36" s="235"/>
      <c r="I36" s="132"/>
    </row>
    <row r="37" spans="1:15" ht="15.75" customHeight="1">
      <c r="A37" s="480" t="s">
        <v>437</v>
      </c>
      <c r="B37" s="481"/>
      <c r="C37" s="481"/>
      <c r="D37" s="481"/>
      <c r="E37" s="481"/>
      <c r="F37" s="481"/>
      <c r="G37" s="236"/>
    </row>
    <row r="38" spans="1:15">
      <c r="A38" s="482" t="s">
        <v>438</v>
      </c>
      <c r="B38" s="237"/>
      <c r="C38" s="238" t="s">
        <v>439</v>
      </c>
      <c r="D38" s="239"/>
      <c r="E38" s="240"/>
      <c r="F38" s="240" t="s">
        <v>440</v>
      </c>
      <c r="G38" s="237"/>
    </row>
    <row r="39" spans="1:15" ht="46.8">
      <c r="A39" s="483"/>
      <c r="B39" s="238" t="s">
        <v>441</v>
      </c>
      <c r="C39" s="241" t="s">
        <v>442</v>
      </c>
      <c r="D39" s="241" t="s">
        <v>443</v>
      </c>
      <c r="E39" s="241" t="s">
        <v>444</v>
      </c>
      <c r="F39" s="241" t="s">
        <v>445</v>
      </c>
      <c r="G39" s="238" t="s">
        <v>446</v>
      </c>
    </row>
    <row r="40" spans="1:15">
      <c r="A40" s="242" t="s">
        <v>447</v>
      </c>
      <c r="B40" s="243">
        <f>C8</f>
        <v>1380812.46</v>
      </c>
      <c r="C40" s="244">
        <f>F8</f>
        <v>1457769.8299999998</v>
      </c>
      <c r="D40" s="245">
        <f>IFERROR(C40/B40*100-100,)</f>
        <v>5.5733397712821784</v>
      </c>
      <c r="E40" s="243">
        <v>1528712.46</v>
      </c>
      <c r="F40" s="246">
        <f>'[3]Anexo 3. Elemento de Despesas'!N25</f>
        <v>1582269.83</v>
      </c>
      <c r="G40" s="247">
        <f>IFERROR(F40/E40*100-100,)</f>
        <v>3.5034299386818617</v>
      </c>
      <c r="H40" s="207" t="b">
        <f>E40='[5]Anexo 1. Fontes e Aplicações'!F40</f>
        <v>1</v>
      </c>
    </row>
    <row r="41" spans="1:15">
      <c r="A41" s="242" t="s">
        <v>448</v>
      </c>
      <c r="B41" s="243">
        <f>C22</f>
        <v>162900</v>
      </c>
      <c r="C41" s="244">
        <f>F22</f>
        <v>889500</v>
      </c>
      <c r="D41" s="245">
        <f>IFERROR(C41/B41*100-100,)</f>
        <v>446.04051565377529</v>
      </c>
      <c r="E41" s="243">
        <v>15000</v>
      </c>
      <c r="F41" s="246">
        <f>'[3]Anexo 3. Elemento de Despesas'!O25</f>
        <v>765000</v>
      </c>
      <c r="G41" s="247">
        <f>IFERROR(F41/E41*100-100,)</f>
        <v>5000</v>
      </c>
      <c r="H41" s="207" t="b">
        <f>E41='[5]Anexo 1. Fontes e Aplicações'!F41</f>
        <v>1</v>
      </c>
    </row>
    <row r="42" spans="1:15">
      <c r="A42" s="248" t="s">
        <v>449</v>
      </c>
      <c r="B42" s="249">
        <f>SUM(B40:B41)</f>
        <v>1543712.46</v>
      </c>
      <c r="C42" s="249">
        <f>SUM(C40:C41)</f>
        <v>2347269.83</v>
      </c>
      <c r="D42" s="250">
        <f>IFERROR(C42/B42*100-100,)</f>
        <v>52.053565079082176</v>
      </c>
      <c r="E42" s="249">
        <f>SUM(E40:E41)</f>
        <v>1543712.46</v>
      </c>
      <c r="F42" s="249">
        <f>SUM(F40:F41)</f>
        <v>2347269.83</v>
      </c>
      <c r="G42" s="251">
        <f>IFERROR(F42/E42*100-100,)</f>
        <v>52.053565079082176</v>
      </c>
    </row>
    <row r="43" spans="1:15">
      <c r="A43" s="252"/>
      <c r="B43" s="131" t="b">
        <f>B42=E42</f>
        <v>1</v>
      </c>
      <c r="C43" s="131" t="b">
        <f>C42=F42</f>
        <v>1</v>
      </c>
      <c r="D43" s="131"/>
      <c r="E43" s="131" t="b">
        <f>E42=B42</f>
        <v>1</v>
      </c>
      <c r="F43" s="253" t="b">
        <f>F42=C42</f>
        <v>1</v>
      </c>
      <c r="G43" s="131"/>
      <c r="H43" s="254"/>
      <c r="I43" s="254"/>
    </row>
    <row r="44" spans="1:15" ht="31.2">
      <c r="A44" s="238" t="s">
        <v>4</v>
      </c>
      <c r="B44" s="238" t="s">
        <v>450</v>
      </c>
      <c r="C44" s="238" t="s">
        <v>451</v>
      </c>
      <c r="D44" s="238" t="s">
        <v>452</v>
      </c>
      <c r="F44" s="133"/>
      <c r="G44" s="255"/>
      <c r="H44" s="133"/>
      <c r="I44" s="133"/>
    </row>
    <row r="45" spans="1:15" ht="18.75" customHeight="1">
      <c r="A45" s="256" t="s">
        <v>453</v>
      </c>
      <c r="B45" s="257">
        <f>F8</f>
        <v>1457769.8299999998</v>
      </c>
      <c r="C45" s="257">
        <f>F22</f>
        <v>889500</v>
      </c>
      <c r="D45" s="257">
        <f>SUM(B45:C45)</f>
        <v>2347269.83</v>
      </c>
      <c r="E45" s="131" t="b">
        <f>D45=F25</f>
        <v>1</v>
      </c>
      <c r="F45" s="133"/>
      <c r="G45" s="255"/>
      <c r="H45" s="133"/>
      <c r="I45" s="133"/>
    </row>
    <row r="46" spans="1:15" ht="18.75" customHeight="1">
      <c r="A46" s="256" t="s">
        <v>454</v>
      </c>
      <c r="B46" s="257">
        <f>'[3]Anexo 3. Elemento de Despesas'!N25</f>
        <v>1582269.83</v>
      </c>
      <c r="C46" s="257">
        <f>'[3]Anexo 3. Elemento de Despesas'!O25</f>
        <v>765000</v>
      </c>
      <c r="D46" s="257">
        <f>SUM(B46:C46)</f>
        <v>2347269.83</v>
      </c>
      <c r="E46" s="131" t="b">
        <f>D46='[3]Anexo 3. Elemento de Despesas'!P25</f>
        <v>1</v>
      </c>
      <c r="F46" s="133"/>
      <c r="G46" s="255"/>
      <c r="H46" s="133"/>
      <c r="I46" s="133"/>
    </row>
    <row r="47" spans="1:15" ht="18.75" customHeight="1">
      <c r="A47" s="258" t="s">
        <v>436</v>
      </c>
      <c r="B47" s="259">
        <f>B45-B46</f>
        <v>-124500.00000000023</v>
      </c>
      <c r="C47" s="259">
        <f t="shared" ref="C47:D47" si="11">C45-C46</f>
        <v>124500</v>
      </c>
      <c r="D47" s="259">
        <f t="shared" si="11"/>
        <v>0</v>
      </c>
      <c r="F47" s="133"/>
      <c r="G47" s="255"/>
      <c r="H47" s="133"/>
      <c r="I47" s="133"/>
    </row>
    <row r="48" spans="1:15"/>
    <row r="49" spans="1:10" ht="27.75" customHeight="1">
      <c r="A49" s="260" t="s">
        <v>455</v>
      </c>
      <c r="B49" s="260" t="s">
        <v>456</v>
      </c>
      <c r="C49" s="207"/>
    </row>
    <row r="50" spans="1:10" ht="27.75" customHeight="1">
      <c r="A50" s="260" t="s">
        <v>457</v>
      </c>
      <c r="B50" s="261">
        <v>1227024.31</v>
      </c>
      <c r="C50" s="207" t="b">
        <f>'[3]Resumo 2022'!E7=B50</f>
        <v>1</v>
      </c>
    </row>
    <row r="51" spans="1:10" ht="27.75" customHeight="1">
      <c r="A51" s="260" t="s">
        <v>458</v>
      </c>
      <c r="B51" s="262">
        <f>'[3]Anexo 3. Elemento de Despesas'!O25</f>
        <v>765000</v>
      </c>
      <c r="C51" s="207" t="b">
        <f>B51='[3]Anexo 3. Elemento de Despesas'!O25</f>
        <v>1</v>
      </c>
    </row>
    <row r="52" spans="1:10" ht="27.75" customHeight="1">
      <c r="A52" s="260" t="s">
        <v>459</v>
      </c>
      <c r="B52" s="261">
        <f>'[3]Quadro Geral'!L23</f>
        <v>124500</v>
      </c>
    </row>
    <row r="53" spans="1:10" ht="27.75" customHeight="1">
      <c r="A53" s="260" t="s">
        <v>460</v>
      </c>
      <c r="B53" s="262">
        <f>B50-B51-B52</f>
        <v>337524.31000000006</v>
      </c>
      <c r="C53" s="263"/>
      <c r="D53" s="263"/>
      <c r="E53" s="263"/>
    </row>
    <row r="54" spans="1:10" ht="27.75" customHeight="1">
      <c r="A54" s="260" t="s">
        <v>461</v>
      </c>
      <c r="B54" s="264">
        <f>IFERROR(B51/B50,)</f>
        <v>0.62345953031688506</v>
      </c>
    </row>
    <row r="55" spans="1:10" ht="27.75" customHeight="1">
      <c r="A55" s="260" t="s">
        <v>462</v>
      </c>
      <c r="B55" s="264">
        <f>IFERROR(B52/B50,)</f>
        <v>0.10146498238490483</v>
      </c>
    </row>
    <row r="56" spans="1:10" ht="27.75" customHeight="1">
      <c r="A56" s="265" t="s">
        <v>463</v>
      </c>
      <c r="B56" s="266"/>
    </row>
    <row r="57" spans="1:10"/>
    <row r="58" spans="1:10">
      <c r="A58" s="359" t="s">
        <v>177</v>
      </c>
      <c r="B58" s="360"/>
      <c r="C58" s="360"/>
      <c r="D58" s="360"/>
      <c r="E58" s="360"/>
      <c r="F58" s="360"/>
      <c r="G58" s="360"/>
      <c r="H58" s="360"/>
      <c r="I58" s="361"/>
    </row>
    <row r="59" spans="1:10" ht="72" customHeight="1">
      <c r="A59" s="484" t="s">
        <v>464</v>
      </c>
      <c r="B59" s="485"/>
      <c r="C59" s="485"/>
      <c r="D59" s="485"/>
      <c r="E59" s="485"/>
      <c r="F59" s="485"/>
      <c r="G59" s="485"/>
      <c r="H59" s="485"/>
      <c r="I59" s="486"/>
      <c r="J59" s="134"/>
    </row>
  </sheetData>
  <mergeCells count="43">
    <mergeCell ref="A37:F37"/>
    <mergeCell ref="A38:A39"/>
    <mergeCell ref="A58:I58"/>
    <mergeCell ref="A59:I59"/>
    <mergeCell ref="A30:B30"/>
    <mergeCell ref="A31:B31"/>
    <mergeCell ref="A32:B32"/>
    <mergeCell ref="A33:B33"/>
    <mergeCell ref="A34:B34"/>
    <mergeCell ref="A35:B35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A7:B7"/>
    <mergeCell ref="J7:R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I1"/>
    <mergeCell ref="A2:I2"/>
    <mergeCell ref="A3:I3"/>
    <mergeCell ref="A4:G4"/>
    <mergeCell ref="A5:B6"/>
    <mergeCell ref="C5:C6"/>
    <mergeCell ref="D5:F5"/>
    <mergeCell ref="G5:H5"/>
    <mergeCell ref="I5:I6"/>
  </mergeCells>
  <conditionalFormatting sqref="C36:H36">
    <cfRule type="cellIs" dxfId="11" priority="12" operator="equal">
      <formula>TRUE</formula>
    </cfRule>
  </conditionalFormatting>
  <conditionalFormatting sqref="B43:G43">
    <cfRule type="cellIs" dxfId="10" priority="11" operator="equal">
      <formula>TRUE</formula>
    </cfRule>
  </conditionalFormatting>
  <conditionalFormatting sqref="H40:H41">
    <cfRule type="cellIs" dxfId="9" priority="10" operator="equal">
      <formula>TRUE</formula>
    </cfRule>
  </conditionalFormatting>
  <conditionalFormatting sqref="C49">
    <cfRule type="cellIs" dxfId="8" priority="9" operator="equal">
      <formula>TRUE</formula>
    </cfRule>
  </conditionalFormatting>
  <conditionalFormatting sqref="C50">
    <cfRule type="cellIs" dxfId="7" priority="8" operator="equal">
      <formula>TRUE</formula>
    </cfRule>
  </conditionalFormatting>
  <conditionalFormatting sqref="C51">
    <cfRule type="cellIs" dxfId="6" priority="7" operator="equal">
      <formula>TRUE</formula>
    </cfRule>
  </conditionalFormatting>
  <conditionalFormatting sqref="J8:J34">
    <cfRule type="cellIs" dxfId="5" priority="6" operator="equal">
      <formula>TRUE</formula>
    </cfRule>
  </conditionalFormatting>
  <conditionalFormatting sqref="K8:K34 L28:N34">
    <cfRule type="cellIs" dxfId="4" priority="5" operator="equal">
      <formula>TRUE</formula>
    </cfRule>
  </conditionalFormatting>
  <conditionalFormatting sqref="L20">
    <cfRule type="cellIs" dxfId="3" priority="4" operator="equal">
      <formula>TRUE</formula>
    </cfRule>
  </conditionalFormatting>
  <conditionalFormatting sqref="E45:E46">
    <cfRule type="cellIs" dxfId="2" priority="3" operator="equal">
      <formula>TRUE</formula>
    </cfRule>
  </conditionalFormatting>
  <conditionalFormatting sqref="K35:N35">
    <cfRule type="cellIs" dxfId="1" priority="2" operator="equal">
      <formula>TRUE</formula>
    </cfRule>
  </conditionalFormatting>
  <conditionalFormatting sqref="O31:O34">
    <cfRule type="cellIs" dxfId="0" priority="1" operator="equal">
      <formula>TRUE</formula>
    </cfRule>
  </conditionalFormatting>
  <pageMargins left="0.23622047244094491" right="0.23622047244094491" top="0.74803149606299213" bottom="0.74803149606299213" header="0.31496062992125984" footer="0.31496062992125984"/>
  <pageSetup paperSize="9" scale="81" orientation="portrait" horizontalDpi="300" vertic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CE685-DEB9-47F8-AF08-D6B2671AA41D}">
  <sheetPr>
    <tabColor rgb="FFFFFF00"/>
    <outlinePr summaryBelow="0"/>
  </sheetPr>
  <dimension ref="A1:O59"/>
  <sheetViews>
    <sheetView showGridLines="0" workbookViewId="0">
      <selection activeCell="T15" sqref="T15"/>
    </sheetView>
  </sheetViews>
  <sheetFormatPr defaultRowHeight="14.4"/>
  <cols>
    <col min="1" max="1" width="25" customWidth="1"/>
    <col min="2" max="2" width="2.33203125" customWidth="1"/>
    <col min="3" max="3" width="2.109375" customWidth="1"/>
    <col min="4" max="4" width="11.33203125" customWidth="1"/>
    <col min="5" max="5" width="0.33203125" customWidth="1"/>
    <col min="6" max="6" width="16.6640625" customWidth="1"/>
    <col min="7" max="7" width="0.5546875" customWidth="1"/>
    <col min="8" max="8" width="15.33203125" customWidth="1"/>
    <col min="9" max="9" width="0.109375" customWidth="1"/>
    <col min="10" max="10" width="0.33203125" customWidth="1"/>
    <col min="11" max="11" width="2.6640625" customWidth="1"/>
    <col min="12" max="12" width="12.6640625" customWidth="1"/>
    <col min="13" max="13" width="0.33203125" customWidth="1"/>
    <col min="14" max="14" width="8.88671875" customWidth="1"/>
    <col min="15" max="15" width="8.6640625" customWidth="1"/>
    <col min="257" max="257" width="25" customWidth="1"/>
    <col min="258" max="258" width="2.33203125" customWidth="1"/>
    <col min="259" max="259" width="2.109375" customWidth="1"/>
    <col min="260" max="260" width="11.33203125" customWidth="1"/>
    <col min="261" max="261" width="0.33203125" customWidth="1"/>
    <col min="262" max="262" width="16.6640625" customWidth="1"/>
    <col min="263" max="263" width="0.5546875" customWidth="1"/>
    <col min="264" max="264" width="15.33203125" customWidth="1"/>
    <col min="265" max="265" width="0.109375" customWidth="1"/>
    <col min="266" max="266" width="0.33203125" customWidth="1"/>
    <col min="267" max="267" width="2.6640625" customWidth="1"/>
    <col min="268" max="268" width="12.6640625" customWidth="1"/>
    <col min="269" max="269" width="0.33203125" customWidth="1"/>
    <col min="271" max="271" width="8.6640625" customWidth="1"/>
    <col min="513" max="513" width="25" customWidth="1"/>
    <col min="514" max="514" width="2.33203125" customWidth="1"/>
    <col min="515" max="515" width="2.109375" customWidth="1"/>
    <col min="516" max="516" width="11.33203125" customWidth="1"/>
    <col min="517" max="517" width="0.33203125" customWidth="1"/>
    <col min="518" max="518" width="16.6640625" customWidth="1"/>
    <col min="519" max="519" width="0.5546875" customWidth="1"/>
    <col min="520" max="520" width="15.33203125" customWidth="1"/>
    <col min="521" max="521" width="0.109375" customWidth="1"/>
    <col min="522" max="522" width="0.33203125" customWidth="1"/>
    <col min="523" max="523" width="2.6640625" customWidth="1"/>
    <col min="524" max="524" width="12.6640625" customWidth="1"/>
    <col min="525" max="525" width="0.33203125" customWidth="1"/>
    <col min="527" max="527" width="8.6640625" customWidth="1"/>
    <col min="769" max="769" width="25" customWidth="1"/>
    <col min="770" max="770" width="2.33203125" customWidth="1"/>
    <col min="771" max="771" width="2.109375" customWidth="1"/>
    <col min="772" max="772" width="11.33203125" customWidth="1"/>
    <col min="773" max="773" width="0.33203125" customWidth="1"/>
    <col min="774" max="774" width="16.6640625" customWidth="1"/>
    <col min="775" max="775" width="0.5546875" customWidth="1"/>
    <col min="776" max="776" width="15.33203125" customWidth="1"/>
    <col min="777" max="777" width="0.109375" customWidth="1"/>
    <col min="778" max="778" width="0.33203125" customWidth="1"/>
    <col min="779" max="779" width="2.6640625" customWidth="1"/>
    <col min="780" max="780" width="12.6640625" customWidth="1"/>
    <col min="781" max="781" width="0.33203125" customWidth="1"/>
    <col min="783" max="783" width="8.6640625" customWidth="1"/>
    <col min="1025" max="1025" width="25" customWidth="1"/>
    <col min="1026" max="1026" width="2.33203125" customWidth="1"/>
    <col min="1027" max="1027" width="2.109375" customWidth="1"/>
    <col min="1028" max="1028" width="11.33203125" customWidth="1"/>
    <col min="1029" max="1029" width="0.33203125" customWidth="1"/>
    <col min="1030" max="1030" width="16.6640625" customWidth="1"/>
    <col min="1031" max="1031" width="0.5546875" customWidth="1"/>
    <col min="1032" max="1032" width="15.33203125" customWidth="1"/>
    <col min="1033" max="1033" width="0.109375" customWidth="1"/>
    <col min="1034" max="1034" width="0.33203125" customWidth="1"/>
    <col min="1035" max="1035" width="2.6640625" customWidth="1"/>
    <col min="1036" max="1036" width="12.6640625" customWidth="1"/>
    <col min="1037" max="1037" width="0.33203125" customWidth="1"/>
    <col min="1039" max="1039" width="8.6640625" customWidth="1"/>
    <col min="1281" max="1281" width="25" customWidth="1"/>
    <col min="1282" max="1282" width="2.33203125" customWidth="1"/>
    <col min="1283" max="1283" width="2.109375" customWidth="1"/>
    <col min="1284" max="1284" width="11.33203125" customWidth="1"/>
    <col min="1285" max="1285" width="0.33203125" customWidth="1"/>
    <col min="1286" max="1286" width="16.6640625" customWidth="1"/>
    <col min="1287" max="1287" width="0.5546875" customWidth="1"/>
    <col min="1288" max="1288" width="15.33203125" customWidth="1"/>
    <col min="1289" max="1289" width="0.109375" customWidth="1"/>
    <col min="1290" max="1290" width="0.33203125" customWidth="1"/>
    <col min="1291" max="1291" width="2.6640625" customWidth="1"/>
    <col min="1292" max="1292" width="12.6640625" customWidth="1"/>
    <col min="1293" max="1293" width="0.33203125" customWidth="1"/>
    <col min="1295" max="1295" width="8.6640625" customWidth="1"/>
    <col min="1537" max="1537" width="25" customWidth="1"/>
    <col min="1538" max="1538" width="2.33203125" customWidth="1"/>
    <col min="1539" max="1539" width="2.109375" customWidth="1"/>
    <col min="1540" max="1540" width="11.33203125" customWidth="1"/>
    <col min="1541" max="1541" width="0.33203125" customWidth="1"/>
    <col min="1542" max="1542" width="16.6640625" customWidth="1"/>
    <col min="1543" max="1543" width="0.5546875" customWidth="1"/>
    <col min="1544" max="1544" width="15.33203125" customWidth="1"/>
    <col min="1545" max="1545" width="0.109375" customWidth="1"/>
    <col min="1546" max="1546" width="0.33203125" customWidth="1"/>
    <col min="1547" max="1547" width="2.6640625" customWidth="1"/>
    <col min="1548" max="1548" width="12.6640625" customWidth="1"/>
    <col min="1549" max="1549" width="0.33203125" customWidth="1"/>
    <col min="1551" max="1551" width="8.6640625" customWidth="1"/>
    <col min="1793" max="1793" width="25" customWidth="1"/>
    <col min="1794" max="1794" width="2.33203125" customWidth="1"/>
    <col min="1795" max="1795" width="2.109375" customWidth="1"/>
    <col min="1796" max="1796" width="11.33203125" customWidth="1"/>
    <col min="1797" max="1797" width="0.33203125" customWidth="1"/>
    <col min="1798" max="1798" width="16.6640625" customWidth="1"/>
    <col min="1799" max="1799" width="0.5546875" customWidth="1"/>
    <col min="1800" max="1800" width="15.33203125" customWidth="1"/>
    <col min="1801" max="1801" width="0.109375" customWidth="1"/>
    <col min="1802" max="1802" width="0.33203125" customWidth="1"/>
    <col min="1803" max="1803" width="2.6640625" customWidth="1"/>
    <col min="1804" max="1804" width="12.6640625" customWidth="1"/>
    <col min="1805" max="1805" width="0.33203125" customWidth="1"/>
    <col min="1807" max="1807" width="8.6640625" customWidth="1"/>
    <col min="2049" max="2049" width="25" customWidth="1"/>
    <col min="2050" max="2050" width="2.33203125" customWidth="1"/>
    <col min="2051" max="2051" width="2.109375" customWidth="1"/>
    <col min="2052" max="2052" width="11.33203125" customWidth="1"/>
    <col min="2053" max="2053" width="0.33203125" customWidth="1"/>
    <col min="2054" max="2054" width="16.6640625" customWidth="1"/>
    <col min="2055" max="2055" width="0.5546875" customWidth="1"/>
    <col min="2056" max="2056" width="15.33203125" customWidth="1"/>
    <col min="2057" max="2057" width="0.109375" customWidth="1"/>
    <col min="2058" max="2058" width="0.33203125" customWidth="1"/>
    <col min="2059" max="2059" width="2.6640625" customWidth="1"/>
    <col min="2060" max="2060" width="12.6640625" customWidth="1"/>
    <col min="2061" max="2061" width="0.33203125" customWidth="1"/>
    <col min="2063" max="2063" width="8.6640625" customWidth="1"/>
    <col min="2305" max="2305" width="25" customWidth="1"/>
    <col min="2306" max="2306" width="2.33203125" customWidth="1"/>
    <col min="2307" max="2307" width="2.109375" customWidth="1"/>
    <col min="2308" max="2308" width="11.33203125" customWidth="1"/>
    <col min="2309" max="2309" width="0.33203125" customWidth="1"/>
    <col min="2310" max="2310" width="16.6640625" customWidth="1"/>
    <col min="2311" max="2311" width="0.5546875" customWidth="1"/>
    <col min="2312" max="2312" width="15.33203125" customWidth="1"/>
    <col min="2313" max="2313" width="0.109375" customWidth="1"/>
    <col min="2314" max="2314" width="0.33203125" customWidth="1"/>
    <col min="2315" max="2315" width="2.6640625" customWidth="1"/>
    <col min="2316" max="2316" width="12.6640625" customWidth="1"/>
    <col min="2317" max="2317" width="0.33203125" customWidth="1"/>
    <col min="2319" max="2319" width="8.6640625" customWidth="1"/>
    <col min="2561" max="2561" width="25" customWidth="1"/>
    <col min="2562" max="2562" width="2.33203125" customWidth="1"/>
    <col min="2563" max="2563" width="2.109375" customWidth="1"/>
    <col min="2564" max="2564" width="11.33203125" customWidth="1"/>
    <col min="2565" max="2565" width="0.33203125" customWidth="1"/>
    <col min="2566" max="2566" width="16.6640625" customWidth="1"/>
    <col min="2567" max="2567" width="0.5546875" customWidth="1"/>
    <col min="2568" max="2568" width="15.33203125" customWidth="1"/>
    <col min="2569" max="2569" width="0.109375" customWidth="1"/>
    <col min="2570" max="2570" width="0.33203125" customWidth="1"/>
    <col min="2571" max="2571" width="2.6640625" customWidth="1"/>
    <col min="2572" max="2572" width="12.6640625" customWidth="1"/>
    <col min="2573" max="2573" width="0.33203125" customWidth="1"/>
    <col min="2575" max="2575" width="8.6640625" customWidth="1"/>
    <col min="2817" max="2817" width="25" customWidth="1"/>
    <col min="2818" max="2818" width="2.33203125" customWidth="1"/>
    <col min="2819" max="2819" width="2.109375" customWidth="1"/>
    <col min="2820" max="2820" width="11.33203125" customWidth="1"/>
    <col min="2821" max="2821" width="0.33203125" customWidth="1"/>
    <col min="2822" max="2822" width="16.6640625" customWidth="1"/>
    <col min="2823" max="2823" width="0.5546875" customWidth="1"/>
    <col min="2824" max="2824" width="15.33203125" customWidth="1"/>
    <col min="2825" max="2825" width="0.109375" customWidth="1"/>
    <col min="2826" max="2826" width="0.33203125" customWidth="1"/>
    <col min="2827" max="2827" width="2.6640625" customWidth="1"/>
    <col min="2828" max="2828" width="12.6640625" customWidth="1"/>
    <col min="2829" max="2829" width="0.33203125" customWidth="1"/>
    <col min="2831" max="2831" width="8.6640625" customWidth="1"/>
    <col min="3073" max="3073" width="25" customWidth="1"/>
    <col min="3074" max="3074" width="2.33203125" customWidth="1"/>
    <col min="3075" max="3075" width="2.109375" customWidth="1"/>
    <col min="3076" max="3076" width="11.33203125" customWidth="1"/>
    <col min="3077" max="3077" width="0.33203125" customWidth="1"/>
    <col min="3078" max="3078" width="16.6640625" customWidth="1"/>
    <col min="3079" max="3079" width="0.5546875" customWidth="1"/>
    <col min="3080" max="3080" width="15.33203125" customWidth="1"/>
    <col min="3081" max="3081" width="0.109375" customWidth="1"/>
    <col min="3082" max="3082" width="0.33203125" customWidth="1"/>
    <col min="3083" max="3083" width="2.6640625" customWidth="1"/>
    <col min="3084" max="3084" width="12.6640625" customWidth="1"/>
    <col min="3085" max="3085" width="0.33203125" customWidth="1"/>
    <col min="3087" max="3087" width="8.6640625" customWidth="1"/>
    <col min="3329" max="3329" width="25" customWidth="1"/>
    <col min="3330" max="3330" width="2.33203125" customWidth="1"/>
    <col min="3331" max="3331" width="2.109375" customWidth="1"/>
    <col min="3332" max="3332" width="11.33203125" customWidth="1"/>
    <col min="3333" max="3333" width="0.33203125" customWidth="1"/>
    <col min="3334" max="3334" width="16.6640625" customWidth="1"/>
    <col min="3335" max="3335" width="0.5546875" customWidth="1"/>
    <col min="3336" max="3336" width="15.33203125" customWidth="1"/>
    <col min="3337" max="3337" width="0.109375" customWidth="1"/>
    <col min="3338" max="3338" width="0.33203125" customWidth="1"/>
    <col min="3339" max="3339" width="2.6640625" customWidth="1"/>
    <col min="3340" max="3340" width="12.6640625" customWidth="1"/>
    <col min="3341" max="3341" width="0.33203125" customWidth="1"/>
    <col min="3343" max="3343" width="8.6640625" customWidth="1"/>
    <col min="3585" max="3585" width="25" customWidth="1"/>
    <col min="3586" max="3586" width="2.33203125" customWidth="1"/>
    <col min="3587" max="3587" width="2.109375" customWidth="1"/>
    <col min="3588" max="3588" width="11.33203125" customWidth="1"/>
    <col min="3589" max="3589" width="0.33203125" customWidth="1"/>
    <col min="3590" max="3590" width="16.6640625" customWidth="1"/>
    <col min="3591" max="3591" width="0.5546875" customWidth="1"/>
    <col min="3592" max="3592" width="15.33203125" customWidth="1"/>
    <col min="3593" max="3593" width="0.109375" customWidth="1"/>
    <col min="3594" max="3594" width="0.33203125" customWidth="1"/>
    <col min="3595" max="3595" width="2.6640625" customWidth="1"/>
    <col min="3596" max="3596" width="12.6640625" customWidth="1"/>
    <col min="3597" max="3597" width="0.33203125" customWidth="1"/>
    <col min="3599" max="3599" width="8.6640625" customWidth="1"/>
    <col min="3841" max="3841" width="25" customWidth="1"/>
    <col min="3842" max="3842" width="2.33203125" customWidth="1"/>
    <col min="3843" max="3843" width="2.109375" customWidth="1"/>
    <col min="3844" max="3844" width="11.33203125" customWidth="1"/>
    <col min="3845" max="3845" width="0.33203125" customWidth="1"/>
    <col min="3846" max="3846" width="16.6640625" customWidth="1"/>
    <col min="3847" max="3847" width="0.5546875" customWidth="1"/>
    <col min="3848" max="3848" width="15.33203125" customWidth="1"/>
    <col min="3849" max="3849" width="0.109375" customWidth="1"/>
    <col min="3850" max="3850" width="0.33203125" customWidth="1"/>
    <col min="3851" max="3851" width="2.6640625" customWidth="1"/>
    <col min="3852" max="3852" width="12.6640625" customWidth="1"/>
    <col min="3853" max="3853" width="0.33203125" customWidth="1"/>
    <col min="3855" max="3855" width="8.6640625" customWidth="1"/>
    <col min="4097" max="4097" width="25" customWidth="1"/>
    <col min="4098" max="4098" width="2.33203125" customWidth="1"/>
    <col min="4099" max="4099" width="2.109375" customWidth="1"/>
    <col min="4100" max="4100" width="11.33203125" customWidth="1"/>
    <col min="4101" max="4101" width="0.33203125" customWidth="1"/>
    <col min="4102" max="4102" width="16.6640625" customWidth="1"/>
    <col min="4103" max="4103" width="0.5546875" customWidth="1"/>
    <col min="4104" max="4104" width="15.33203125" customWidth="1"/>
    <col min="4105" max="4105" width="0.109375" customWidth="1"/>
    <col min="4106" max="4106" width="0.33203125" customWidth="1"/>
    <col min="4107" max="4107" width="2.6640625" customWidth="1"/>
    <col min="4108" max="4108" width="12.6640625" customWidth="1"/>
    <col min="4109" max="4109" width="0.33203125" customWidth="1"/>
    <col min="4111" max="4111" width="8.6640625" customWidth="1"/>
    <col min="4353" max="4353" width="25" customWidth="1"/>
    <col min="4354" max="4354" width="2.33203125" customWidth="1"/>
    <col min="4355" max="4355" width="2.109375" customWidth="1"/>
    <col min="4356" max="4356" width="11.33203125" customWidth="1"/>
    <col min="4357" max="4357" width="0.33203125" customWidth="1"/>
    <col min="4358" max="4358" width="16.6640625" customWidth="1"/>
    <col min="4359" max="4359" width="0.5546875" customWidth="1"/>
    <col min="4360" max="4360" width="15.33203125" customWidth="1"/>
    <col min="4361" max="4361" width="0.109375" customWidth="1"/>
    <col min="4362" max="4362" width="0.33203125" customWidth="1"/>
    <col min="4363" max="4363" width="2.6640625" customWidth="1"/>
    <col min="4364" max="4364" width="12.6640625" customWidth="1"/>
    <col min="4365" max="4365" width="0.33203125" customWidth="1"/>
    <col min="4367" max="4367" width="8.6640625" customWidth="1"/>
    <col min="4609" max="4609" width="25" customWidth="1"/>
    <col min="4610" max="4610" width="2.33203125" customWidth="1"/>
    <col min="4611" max="4611" width="2.109375" customWidth="1"/>
    <col min="4612" max="4612" width="11.33203125" customWidth="1"/>
    <col min="4613" max="4613" width="0.33203125" customWidth="1"/>
    <col min="4614" max="4614" width="16.6640625" customWidth="1"/>
    <col min="4615" max="4615" width="0.5546875" customWidth="1"/>
    <col min="4616" max="4616" width="15.33203125" customWidth="1"/>
    <col min="4617" max="4617" width="0.109375" customWidth="1"/>
    <col min="4618" max="4618" width="0.33203125" customWidth="1"/>
    <col min="4619" max="4619" width="2.6640625" customWidth="1"/>
    <col min="4620" max="4620" width="12.6640625" customWidth="1"/>
    <col min="4621" max="4621" width="0.33203125" customWidth="1"/>
    <col min="4623" max="4623" width="8.6640625" customWidth="1"/>
    <col min="4865" max="4865" width="25" customWidth="1"/>
    <col min="4866" max="4866" width="2.33203125" customWidth="1"/>
    <col min="4867" max="4867" width="2.109375" customWidth="1"/>
    <col min="4868" max="4868" width="11.33203125" customWidth="1"/>
    <col min="4869" max="4869" width="0.33203125" customWidth="1"/>
    <col min="4870" max="4870" width="16.6640625" customWidth="1"/>
    <col min="4871" max="4871" width="0.5546875" customWidth="1"/>
    <col min="4872" max="4872" width="15.33203125" customWidth="1"/>
    <col min="4873" max="4873" width="0.109375" customWidth="1"/>
    <col min="4874" max="4874" width="0.33203125" customWidth="1"/>
    <col min="4875" max="4875" width="2.6640625" customWidth="1"/>
    <col min="4876" max="4876" width="12.6640625" customWidth="1"/>
    <col min="4877" max="4877" width="0.33203125" customWidth="1"/>
    <col min="4879" max="4879" width="8.6640625" customWidth="1"/>
    <col min="5121" max="5121" width="25" customWidth="1"/>
    <col min="5122" max="5122" width="2.33203125" customWidth="1"/>
    <col min="5123" max="5123" width="2.109375" customWidth="1"/>
    <col min="5124" max="5124" width="11.33203125" customWidth="1"/>
    <col min="5125" max="5125" width="0.33203125" customWidth="1"/>
    <col min="5126" max="5126" width="16.6640625" customWidth="1"/>
    <col min="5127" max="5127" width="0.5546875" customWidth="1"/>
    <col min="5128" max="5128" width="15.33203125" customWidth="1"/>
    <col min="5129" max="5129" width="0.109375" customWidth="1"/>
    <col min="5130" max="5130" width="0.33203125" customWidth="1"/>
    <col min="5131" max="5131" width="2.6640625" customWidth="1"/>
    <col min="5132" max="5132" width="12.6640625" customWidth="1"/>
    <col min="5133" max="5133" width="0.33203125" customWidth="1"/>
    <col min="5135" max="5135" width="8.6640625" customWidth="1"/>
    <col min="5377" max="5377" width="25" customWidth="1"/>
    <col min="5378" max="5378" width="2.33203125" customWidth="1"/>
    <col min="5379" max="5379" width="2.109375" customWidth="1"/>
    <col min="5380" max="5380" width="11.33203125" customWidth="1"/>
    <col min="5381" max="5381" width="0.33203125" customWidth="1"/>
    <col min="5382" max="5382" width="16.6640625" customWidth="1"/>
    <col min="5383" max="5383" width="0.5546875" customWidth="1"/>
    <col min="5384" max="5384" width="15.33203125" customWidth="1"/>
    <col min="5385" max="5385" width="0.109375" customWidth="1"/>
    <col min="5386" max="5386" width="0.33203125" customWidth="1"/>
    <col min="5387" max="5387" width="2.6640625" customWidth="1"/>
    <col min="5388" max="5388" width="12.6640625" customWidth="1"/>
    <col min="5389" max="5389" width="0.33203125" customWidth="1"/>
    <col min="5391" max="5391" width="8.6640625" customWidth="1"/>
    <col min="5633" max="5633" width="25" customWidth="1"/>
    <col min="5634" max="5634" width="2.33203125" customWidth="1"/>
    <col min="5635" max="5635" width="2.109375" customWidth="1"/>
    <col min="5636" max="5636" width="11.33203125" customWidth="1"/>
    <col min="5637" max="5637" width="0.33203125" customWidth="1"/>
    <col min="5638" max="5638" width="16.6640625" customWidth="1"/>
    <col min="5639" max="5639" width="0.5546875" customWidth="1"/>
    <col min="5640" max="5640" width="15.33203125" customWidth="1"/>
    <col min="5641" max="5641" width="0.109375" customWidth="1"/>
    <col min="5642" max="5642" width="0.33203125" customWidth="1"/>
    <col min="5643" max="5643" width="2.6640625" customWidth="1"/>
    <col min="5644" max="5644" width="12.6640625" customWidth="1"/>
    <col min="5645" max="5645" width="0.33203125" customWidth="1"/>
    <col min="5647" max="5647" width="8.6640625" customWidth="1"/>
    <col min="5889" max="5889" width="25" customWidth="1"/>
    <col min="5890" max="5890" width="2.33203125" customWidth="1"/>
    <col min="5891" max="5891" width="2.109375" customWidth="1"/>
    <col min="5892" max="5892" width="11.33203125" customWidth="1"/>
    <col min="5893" max="5893" width="0.33203125" customWidth="1"/>
    <col min="5894" max="5894" width="16.6640625" customWidth="1"/>
    <col min="5895" max="5895" width="0.5546875" customWidth="1"/>
    <col min="5896" max="5896" width="15.33203125" customWidth="1"/>
    <col min="5897" max="5897" width="0.109375" customWidth="1"/>
    <col min="5898" max="5898" width="0.33203125" customWidth="1"/>
    <col min="5899" max="5899" width="2.6640625" customWidth="1"/>
    <col min="5900" max="5900" width="12.6640625" customWidth="1"/>
    <col min="5901" max="5901" width="0.33203125" customWidth="1"/>
    <col min="5903" max="5903" width="8.6640625" customWidth="1"/>
    <col min="6145" max="6145" width="25" customWidth="1"/>
    <col min="6146" max="6146" width="2.33203125" customWidth="1"/>
    <col min="6147" max="6147" width="2.109375" customWidth="1"/>
    <col min="6148" max="6148" width="11.33203125" customWidth="1"/>
    <col min="6149" max="6149" width="0.33203125" customWidth="1"/>
    <col min="6150" max="6150" width="16.6640625" customWidth="1"/>
    <col min="6151" max="6151" width="0.5546875" customWidth="1"/>
    <col min="6152" max="6152" width="15.33203125" customWidth="1"/>
    <col min="6153" max="6153" width="0.109375" customWidth="1"/>
    <col min="6154" max="6154" width="0.33203125" customWidth="1"/>
    <col min="6155" max="6155" width="2.6640625" customWidth="1"/>
    <col min="6156" max="6156" width="12.6640625" customWidth="1"/>
    <col min="6157" max="6157" width="0.33203125" customWidth="1"/>
    <col min="6159" max="6159" width="8.6640625" customWidth="1"/>
    <col min="6401" max="6401" width="25" customWidth="1"/>
    <col min="6402" max="6402" width="2.33203125" customWidth="1"/>
    <col min="6403" max="6403" width="2.109375" customWidth="1"/>
    <col min="6404" max="6404" width="11.33203125" customWidth="1"/>
    <col min="6405" max="6405" width="0.33203125" customWidth="1"/>
    <col min="6406" max="6406" width="16.6640625" customWidth="1"/>
    <col min="6407" max="6407" width="0.5546875" customWidth="1"/>
    <col min="6408" max="6408" width="15.33203125" customWidth="1"/>
    <col min="6409" max="6409" width="0.109375" customWidth="1"/>
    <col min="6410" max="6410" width="0.33203125" customWidth="1"/>
    <col min="6411" max="6411" width="2.6640625" customWidth="1"/>
    <col min="6412" max="6412" width="12.6640625" customWidth="1"/>
    <col min="6413" max="6413" width="0.33203125" customWidth="1"/>
    <col min="6415" max="6415" width="8.6640625" customWidth="1"/>
    <col min="6657" max="6657" width="25" customWidth="1"/>
    <col min="6658" max="6658" width="2.33203125" customWidth="1"/>
    <col min="6659" max="6659" width="2.109375" customWidth="1"/>
    <col min="6660" max="6660" width="11.33203125" customWidth="1"/>
    <col min="6661" max="6661" width="0.33203125" customWidth="1"/>
    <col min="6662" max="6662" width="16.6640625" customWidth="1"/>
    <col min="6663" max="6663" width="0.5546875" customWidth="1"/>
    <col min="6664" max="6664" width="15.33203125" customWidth="1"/>
    <col min="6665" max="6665" width="0.109375" customWidth="1"/>
    <col min="6666" max="6666" width="0.33203125" customWidth="1"/>
    <col min="6667" max="6667" width="2.6640625" customWidth="1"/>
    <col min="6668" max="6668" width="12.6640625" customWidth="1"/>
    <col min="6669" max="6669" width="0.33203125" customWidth="1"/>
    <col min="6671" max="6671" width="8.6640625" customWidth="1"/>
    <col min="6913" max="6913" width="25" customWidth="1"/>
    <col min="6914" max="6914" width="2.33203125" customWidth="1"/>
    <col min="6915" max="6915" width="2.109375" customWidth="1"/>
    <col min="6916" max="6916" width="11.33203125" customWidth="1"/>
    <col min="6917" max="6917" width="0.33203125" customWidth="1"/>
    <col min="6918" max="6918" width="16.6640625" customWidth="1"/>
    <col min="6919" max="6919" width="0.5546875" customWidth="1"/>
    <col min="6920" max="6920" width="15.33203125" customWidth="1"/>
    <col min="6921" max="6921" width="0.109375" customWidth="1"/>
    <col min="6922" max="6922" width="0.33203125" customWidth="1"/>
    <col min="6923" max="6923" width="2.6640625" customWidth="1"/>
    <col min="6924" max="6924" width="12.6640625" customWidth="1"/>
    <col min="6925" max="6925" width="0.33203125" customWidth="1"/>
    <col min="6927" max="6927" width="8.6640625" customWidth="1"/>
    <col min="7169" max="7169" width="25" customWidth="1"/>
    <col min="7170" max="7170" width="2.33203125" customWidth="1"/>
    <col min="7171" max="7171" width="2.109375" customWidth="1"/>
    <col min="7172" max="7172" width="11.33203125" customWidth="1"/>
    <col min="7173" max="7173" width="0.33203125" customWidth="1"/>
    <col min="7174" max="7174" width="16.6640625" customWidth="1"/>
    <col min="7175" max="7175" width="0.5546875" customWidth="1"/>
    <col min="7176" max="7176" width="15.33203125" customWidth="1"/>
    <col min="7177" max="7177" width="0.109375" customWidth="1"/>
    <col min="7178" max="7178" width="0.33203125" customWidth="1"/>
    <col min="7179" max="7179" width="2.6640625" customWidth="1"/>
    <col min="7180" max="7180" width="12.6640625" customWidth="1"/>
    <col min="7181" max="7181" width="0.33203125" customWidth="1"/>
    <col min="7183" max="7183" width="8.6640625" customWidth="1"/>
    <col min="7425" max="7425" width="25" customWidth="1"/>
    <col min="7426" max="7426" width="2.33203125" customWidth="1"/>
    <col min="7427" max="7427" width="2.109375" customWidth="1"/>
    <col min="7428" max="7428" width="11.33203125" customWidth="1"/>
    <col min="7429" max="7429" width="0.33203125" customWidth="1"/>
    <col min="7430" max="7430" width="16.6640625" customWidth="1"/>
    <col min="7431" max="7431" width="0.5546875" customWidth="1"/>
    <col min="7432" max="7432" width="15.33203125" customWidth="1"/>
    <col min="7433" max="7433" width="0.109375" customWidth="1"/>
    <col min="7434" max="7434" width="0.33203125" customWidth="1"/>
    <col min="7435" max="7435" width="2.6640625" customWidth="1"/>
    <col min="7436" max="7436" width="12.6640625" customWidth="1"/>
    <col min="7437" max="7437" width="0.33203125" customWidth="1"/>
    <col min="7439" max="7439" width="8.6640625" customWidth="1"/>
    <col min="7681" max="7681" width="25" customWidth="1"/>
    <col min="7682" max="7682" width="2.33203125" customWidth="1"/>
    <col min="7683" max="7683" width="2.109375" customWidth="1"/>
    <col min="7684" max="7684" width="11.33203125" customWidth="1"/>
    <col min="7685" max="7685" width="0.33203125" customWidth="1"/>
    <col min="7686" max="7686" width="16.6640625" customWidth="1"/>
    <col min="7687" max="7687" width="0.5546875" customWidth="1"/>
    <col min="7688" max="7688" width="15.33203125" customWidth="1"/>
    <col min="7689" max="7689" width="0.109375" customWidth="1"/>
    <col min="7690" max="7690" width="0.33203125" customWidth="1"/>
    <col min="7691" max="7691" width="2.6640625" customWidth="1"/>
    <col min="7692" max="7692" width="12.6640625" customWidth="1"/>
    <col min="7693" max="7693" width="0.33203125" customWidth="1"/>
    <col min="7695" max="7695" width="8.6640625" customWidth="1"/>
    <col min="7937" max="7937" width="25" customWidth="1"/>
    <col min="7938" max="7938" width="2.33203125" customWidth="1"/>
    <col min="7939" max="7939" width="2.109375" customWidth="1"/>
    <col min="7940" max="7940" width="11.33203125" customWidth="1"/>
    <col min="7941" max="7941" width="0.33203125" customWidth="1"/>
    <col min="7942" max="7942" width="16.6640625" customWidth="1"/>
    <col min="7943" max="7943" width="0.5546875" customWidth="1"/>
    <col min="7944" max="7944" width="15.33203125" customWidth="1"/>
    <col min="7945" max="7945" width="0.109375" customWidth="1"/>
    <col min="7946" max="7946" width="0.33203125" customWidth="1"/>
    <col min="7947" max="7947" width="2.6640625" customWidth="1"/>
    <col min="7948" max="7948" width="12.6640625" customWidth="1"/>
    <col min="7949" max="7949" width="0.33203125" customWidth="1"/>
    <col min="7951" max="7951" width="8.6640625" customWidth="1"/>
    <col min="8193" max="8193" width="25" customWidth="1"/>
    <col min="8194" max="8194" width="2.33203125" customWidth="1"/>
    <col min="8195" max="8195" width="2.109375" customWidth="1"/>
    <col min="8196" max="8196" width="11.33203125" customWidth="1"/>
    <col min="8197" max="8197" width="0.33203125" customWidth="1"/>
    <col min="8198" max="8198" width="16.6640625" customWidth="1"/>
    <col min="8199" max="8199" width="0.5546875" customWidth="1"/>
    <col min="8200" max="8200" width="15.33203125" customWidth="1"/>
    <col min="8201" max="8201" width="0.109375" customWidth="1"/>
    <col min="8202" max="8202" width="0.33203125" customWidth="1"/>
    <col min="8203" max="8203" width="2.6640625" customWidth="1"/>
    <col min="8204" max="8204" width="12.6640625" customWidth="1"/>
    <col min="8205" max="8205" width="0.33203125" customWidth="1"/>
    <col min="8207" max="8207" width="8.6640625" customWidth="1"/>
    <col min="8449" max="8449" width="25" customWidth="1"/>
    <col min="8450" max="8450" width="2.33203125" customWidth="1"/>
    <col min="8451" max="8451" width="2.109375" customWidth="1"/>
    <col min="8452" max="8452" width="11.33203125" customWidth="1"/>
    <col min="8453" max="8453" width="0.33203125" customWidth="1"/>
    <col min="8454" max="8454" width="16.6640625" customWidth="1"/>
    <col min="8455" max="8455" width="0.5546875" customWidth="1"/>
    <col min="8456" max="8456" width="15.33203125" customWidth="1"/>
    <col min="8457" max="8457" width="0.109375" customWidth="1"/>
    <col min="8458" max="8458" width="0.33203125" customWidth="1"/>
    <col min="8459" max="8459" width="2.6640625" customWidth="1"/>
    <col min="8460" max="8460" width="12.6640625" customWidth="1"/>
    <col min="8461" max="8461" width="0.33203125" customWidth="1"/>
    <col min="8463" max="8463" width="8.6640625" customWidth="1"/>
    <col min="8705" max="8705" width="25" customWidth="1"/>
    <col min="8706" max="8706" width="2.33203125" customWidth="1"/>
    <col min="8707" max="8707" width="2.109375" customWidth="1"/>
    <col min="8708" max="8708" width="11.33203125" customWidth="1"/>
    <col min="8709" max="8709" width="0.33203125" customWidth="1"/>
    <col min="8710" max="8710" width="16.6640625" customWidth="1"/>
    <col min="8711" max="8711" width="0.5546875" customWidth="1"/>
    <col min="8712" max="8712" width="15.33203125" customWidth="1"/>
    <col min="8713" max="8713" width="0.109375" customWidth="1"/>
    <col min="8714" max="8714" width="0.33203125" customWidth="1"/>
    <col min="8715" max="8715" width="2.6640625" customWidth="1"/>
    <col min="8716" max="8716" width="12.6640625" customWidth="1"/>
    <col min="8717" max="8717" width="0.33203125" customWidth="1"/>
    <col min="8719" max="8719" width="8.6640625" customWidth="1"/>
    <col min="8961" max="8961" width="25" customWidth="1"/>
    <col min="8962" max="8962" width="2.33203125" customWidth="1"/>
    <col min="8963" max="8963" width="2.109375" customWidth="1"/>
    <col min="8964" max="8964" width="11.33203125" customWidth="1"/>
    <col min="8965" max="8965" width="0.33203125" customWidth="1"/>
    <col min="8966" max="8966" width="16.6640625" customWidth="1"/>
    <col min="8967" max="8967" width="0.5546875" customWidth="1"/>
    <col min="8968" max="8968" width="15.33203125" customWidth="1"/>
    <col min="8969" max="8969" width="0.109375" customWidth="1"/>
    <col min="8970" max="8970" width="0.33203125" customWidth="1"/>
    <col min="8971" max="8971" width="2.6640625" customWidth="1"/>
    <col min="8972" max="8972" width="12.6640625" customWidth="1"/>
    <col min="8973" max="8973" width="0.33203125" customWidth="1"/>
    <col min="8975" max="8975" width="8.6640625" customWidth="1"/>
    <col min="9217" max="9217" width="25" customWidth="1"/>
    <col min="9218" max="9218" width="2.33203125" customWidth="1"/>
    <col min="9219" max="9219" width="2.109375" customWidth="1"/>
    <col min="9220" max="9220" width="11.33203125" customWidth="1"/>
    <col min="9221" max="9221" width="0.33203125" customWidth="1"/>
    <col min="9222" max="9222" width="16.6640625" customWidth="1"/>
    <col min="9223" max="9223" width="0.5546875" customWidth="1"/>
    <col min="9224" max="9224" width="15.33203125" customWidth="1"/>
    <col min="9225" max="9225" width="0.109375" customWidth="1"/>
    <col min="9226" max="9226" width="0.33203125" customWidth="1"/>
    <col min="9227" max="9227" width="2.6640625" customWidth="1"/>
    <col min="9228" max="9228" width="12.6640625" customWidth="1"/>
    <col min="9229" max="9229" width="0.33203125" customWidth="1"/>
    <col min="9231" max="9231" width="8.6640625" customWidth="1"/>
    <col min="9473" max="9473" width="25" customWidth="1"/>
    <col min="9474" max="9474" width="2.33203125" customWidth="1"/>
    <col min="9475" max="9475" width="2.109375" customWidth="1"/>
    <col min="9476" max="9476" width="11.33203125" customWidth="1"/>
    <col min="9477" max="9477" width="0.33203125" customWidth="1"/>
    <col min="9478" max="9478" width="16.6640625" customWidth="1"/>
    <col min="9479" max="9479" width="0.5546875" customWidth="1"/>
    <col min="9480" max="9480" width="15.33203125" customWidth="1"/>
    <col min="9481" max="9481" width="0.109375" customWidth="1"/>
    <col min="9482" max="9482" width="0.33203125" customWidth="1"/>
    <col min="9483" max="9483" width="2.6640625" customWidth="1"/>
    <col min="9484" max="9484" width="12.6640625" customWidth="1"/>
    <col min="9485" max="9485" width="0.33203125" customWidth="1"/>
    <col min="9487" max="9487" width="8.6640625" customWidth="1"/>
    <col min="9729" max="9729" width="25" customWidth="1"/>
    <col min="9730" max="9730" width="2.33203125" customWidth="1"/>
    <col min="9731" max="9731" width="2.109375" customWidth="1"/>
    <col min="9732" max="9732" width="11.33203125" customWidth="1"/>
    <col min="9733" max="9733" width="0.33203125" customWidth="1"/>
    <col min="9734" max="9734" width="16.6640625" customWidth="1"/>
    <col min="9735" max="9735" width="0.5546875" customWidth="1"/>
    <col min="9736" max="9736" width="15.33203125" customWidth="1"/>
    <col min="9737" max="9737" width="0.109375" customWidth="1"/>
    <col min="9738" max="9738" width="0.33203125" customWidth="1"/>
    <col min="9739" max="9739" width="2.6640625" customWidth="1"/>
    <col min="9740" max="9740" width="12.6640625" customWidth="1"/>
    <col min="9741" max="9741" width="0.33203125" customWidth="1"/>
    <col min="9743" max="9743" width="8.6640625" customWidth="1"/>
    <col min="9985" max="9985" width="25" customWidth="1"/>
    <col min="9986" max="9986" width="2.33203125" customWidth="1"/>
    <col min="9987" max="9987" width="2.109375" customWidth="1"/>
    <col min="9988" max="9988" width="11.33203125" customWidth="1"/>
    <col min="9989" max="9989" width="0.33203125" customWidth="1"/>
    <col min="9990" max="9990" width="16.6640625" customWidth="1"/>
    <col min="9991" max="9991" width="0.5546875" customWidth="1"/>
    <col min="9992" max="9992" width="15.33203125" customWidth="1"/>
    <col min="9993" max="9993" width="0.109375" customWidth="1"/>
    <col min="9994" max="9994" width="0.33203125" customWidth="1"/>
    <col min="9995" max="9995" width="2.6640625" customWidth="1"/>
    <col min="9996" max="9996" width="12.6640625" customWidth="1"/>
    <col min="9997" max="9997" width="0.33203125" customWidth="1"/>
    <col min="9999" max="9999" width="8.6640625" customWidth="1"/>
    <col min="10241" max="10241" width="25" customWidth="1"/>
    <col min="10242" max="10242" width="2.33203125" customWidth="1"/>
    <col min="10243" max="10243" width="2.109375" customWidth="1"/>
    <col min="10244" max="10244" width="11.33203125" customWidth="1"/>
    <col min="10245" max="10245" width="0.33203125" customWidth="1"/>
    <col min="10246" max="10246" width="16.6640625" customWidth="1"/>
    <col min="10247" max="10247" width="0.5546875" customWidth="1"/>
    <col min="10248" max="10248" width="15.33203125" customWidth="1"/>
    <col min="10249" max="10249" width="0.109375" customWidth="1"/>
    <col min="10250" max="10250" width="0.33203125" customWidth="1"/>
    <col min="10251" max="10251" width="2.6640625" customWidth="1"/>
    <col min="10252" max="10252" width="12.6640625" customWidth="1"/>
    <col min="10253" max="10253" width="0.33203125" customWidth="1"/>
    <col min="10255" max="10255" width="8.6640625" customWidth="1"/>
    <col min="10497" max="10497" width="25" customWidth="1"/>
    <col min="10498" max="10498" width="2.33203125" customWidth="1"/>
    <col min="10499" max="10499" width="2.109375" customWidth="1"/>
    <col min="10500" max="10500" width="11.33203125" customWidth="1"/>
    <col min="10501" max="10501" width="0.33203125" customWidth="1"/>
    <col min="10502" max="10502" width="16.6640625" customWidth="1"/>
    <col min="10503" max="10503" width="0.5546875" customWidth="1"/>
    <col min="10504" max="10504" width="15.33203125" customWidth="1"/>
    <col min="10505" max="10505" width="0.109375" customWidth="1"/>
    <col min="10506" max="10506" width="0.33203125" customWidth="1"/>
    <col min="10507" max="10507" width="2.6640625" customWidth="1"/>
    <col min="10508" max="10508" width="12.6640625" customWidth="1"/>
    <col min="10509" max="10509" width="0.33203125" customWidth="1"/>
    <col min="10511" max="10511" width="8.6640625" customWidth="1"/>
    <col min="10753" max="10753" width="25" customWidth="1"/>
    <col min="10754" max="10754" width="2.33203125" customWidth="1"/>
    <col min="10755" max="10755" width="2.109375" customWidth="1"/>
    <col min="10756" max="10756" width="11.33203125" customWidth="1"/>
    <col min="10757" max="10757" width="0.33203125" customWidth="1"/>
    <col min="10758" max="10758" width="16.6640625" customWidth="1"/>
    <col min="10759" max="10759" width="0.5546875" customWidth="1"/>
    <col min="10760" max="10760" width="15.33203125" customWidth="1"/>
    <col min="10761" max="10761" width="0.109375" customWidth="1"/>
    <col min="10762" max="10762" width="0.33203125" customWidth="1"/>
    <col min="10763" max="10763" width="2.6640625" customWidth="1"/>
    <col min="10764" max="10764" width="12.6640625" customWidth="1"/>
    <col min="10765" max="10765" width="0.33203125" customWidth="1"/>
    <col min="10767" max="10767" width="8.6640625" customWidth="1"/>
    <col min="11009" max="11009" width="25" customWidth="1"/>
    <col min="11010" max="11010" width="2.33203125" customWidth="1"/>
    <col min="11011" max="11011" width="2.109375" customWidth="1"/>
    <col min="11012" max="11012" width="11.33203125" customWidth="1"/>
    <col min="11013" max="11013" width="0.33203125" customWidth="1"/>
    <col min="11014" max="11014" width="16.6640625" customWidth="1"/>
    <col min="11015" max="11015" width="0.5546875" customWidth="1"/>
    <col min="11016" max="11016" width="15.33203125" customWidth="1"/>
    <col min="11017" max="11017" width="0.109375" customWidth="1"/>
    <col min="11018" max="11018" width="0.33203125" customWidth="1"/>
    <col min="11019" max="11019" width="2.6640625" customWidth="1"/>
    <col min="11020" max="11020" width="12.6640625" customWidth="1"/>
    <col min="11021" max="11021" width="0.33203125" customWidth="1"/>
    <col min="11023" max="11023" width="8.6640625" customWidth="1"/>
    <col min="11265" max="11265" width="25" customWidth="1"/>
    <col min="11266" max="11266" width="2.33203125" customWidth="1"/>
    <col min="11267" max="11267" width="2.109375" customWidth="1"/>
    <col min="11268" max="11268" width="11.33203125" customWidth="1"/>
    <col min="11269" max="11269" width="0.33203125" customWidth="1"/>
    <col min="11270" max="11270" width="16.6640625" customWidth="1"/>
    <col min="11271" max="11271" width="0.5546875" customWidth="1"/>
    <col min="11272" max="11272" width="15.33203125" customWidth="1"/>
    <col min="11273" max="11273" width="0.109375" customWidth="1"/>
    <col min="11274" max="11274" width="0.33203125" customWidth="1"/>
    <col min="11275" max="11275" width="2.6640625" customWidth="1"/>
    <col min="11276" max="11276" width="12.6640625" customWidth="1"/>
    <col min="11277" max="11277" width="0.33203125" customWidth="1"/>
    <col min="11279" max="11279" width="8.6640625" customWidth="1"/>
    <col min="11521" max="11521" width="25" customWidth="1"/>
    <col min="11522" max="11522" width="2.33203125" customWidth="1"/>
    <col min="11523" max="11523" width="2.109375" customWidth="1"/>
    <col min="11524" max="11524" width="11.33203125" customWidth="1"/>
    <col min="11525" max="11525" width="0.33203125" customWidth="1"/>
    <col min="11526" max="11526" width="16.6640625" customWidth="1"/>
    <col min="11527" max="11527" width="0.5546875" customWidth="1"/>
    <col min="11528" max="11528" width="15.33203125" customWidth="1"/>
    <col min="11529" max="11529" width="0.109375" customWidth="1"/>
    <col min="11530" max="11530" width="0.33203125" customWidth="1"/>
    <col min="11531" max="11531" width="2.6640625" customWidth="1"/>
    <col min="11532" max="11532" width="12.6640625" customWidth="1"/>
    <col min="11533" max="11533" width="0.33203125" customWidth="1"/>
    <col min="11535" max="11535" width="8.6640625" customWidth="1"/>
    <col min="11777" max="11777" width="25" customWidth="1"/>
    <col min="11778" max="11778" width="2.33203125" customWidth="1"/>
    <col min="11779" max="11779" width="2.109375" customWidth="1"/>
    <col min="11780" max="11780" width="11.33203125" customWidth="1"/>
    <col min="11781" max="11781" width="0.33203125" customWidth="1"/>
    <col min="11782" max="11782" width="16.6640625" customWidth="1"/>
    <col min="11783" max="11783" width="0.5546875" customWidth="1"/>
    <col min="11784" max="11784" width="15.33203125" customWidth="1"/>
    <col min="11785" max="11785" width="0.109375" customWidth="1"/>
    <col min="11786" max="11786" width="0.33203125" customWidth="1"/>
    <col min="11787" max="11787" width="2.6640625" customWidth="1"/>
    <col min="11788" max="11788" width="12.6640625" customWidth="1"/>
    <col min="11789" max="11789" width="0.33203125" customWidth="1"/>
    <col min="11791" max="11791" width="8.6640625" customWidth="1"/>
    <col min="12033" max="12033" width="25" customWidth="1"/>
    <col min="12034" max="12034" width="2.33203125" customWidth="1"/>
    <col min="12035" max="12035" width="2.109375" customWidth="1"/>
    <col min="12036" max="12036" width="11.33203125" customWidth="1"/>
    <col min="12037" max="12037" width="0.33203125" customWidth="1"/>
    <col min="12038" max="12038" width="16.6640625" customWidth="1"/>
    <col min="12039" max="12039" width="0.5546875" customWidth="1"/>
    <col min="12040" max="12040" width="15.33203125" customWidth="1"/>
    <col min="12041" max="12041" width="0.109375" customWidth="1"/>
    <col min="12042" max="12042" width="0.33203125" customWidth="1"/>
    <col min="12043" max="12043" width="2.6640625" customWidth="1"/>
    <col min="12044" max="12044" width="12.6640625" customWidth="1"/>
    <col min="12045" max="12045" width="0.33203125" customWidth="1"/>
    <col min="12047" max="12047" width="8.6640625" customWidth="1"/>
    <col min="12289" max="12289" width="25" customWidth="1"/>
    <col min="12290" max="12290" width="2.33203125" customWidth="1"/>
    <col min="12291" max="12291" width="2.109375" customWidth="1"/>
    <col min="12292" max="12292" width="11.33203125" customWidth="1"/>
    <col min="12293" max="12293" width="0.33203125" customWidth="1"/>
    <col min="12294" max="12294" width="16.6640625" customWidth="1"/>
    <col min="12295" max="12295" width="0.5546875" customWidth="1"/>
    <col min="12296" max="12296" width="15.33203125" customWidth="1"/>
    <col min="12297" max="12297" width="0.109375" customWidth="1"/>
    <col min="12298" max="12298" width="0.33203125" customWidth="1"/>
    <col min="12299" max="12299" width="2.6640625" customWidth="1"/>
    <col min="12300" max="12300" width="12.6640625" customWidth="1"/>
    <col min="12301" max="12301" width="0.33203125" customWidth="1"/>
    <col min="12303" max="12303" width="8.6640625" customWidth="1"/>
    <col min="12545" max="12545" width="25" customWidth="1"/>
    <col min="12546" max="12546" width="2.33203125" customWidth="1"/>
    <col min="12547" max="12547" width="2.109375" customWidth="1"/>
    <col min="12548" max="12548" width="11.33203125" customWidth="1"/>
    <col min="12549" max="12549" width="0.33203125" customWidth="1"/>
    <col min="12550" max="12550" width="16.6640625" customWidth="1"/>
    <col min="12551" max="12551" width="0.5546875" customWidth="1"/>
    <col min="12552" max="12552" width="15.33203125" customWidth="1"/>
    <col min="12553" max="12553" width="0.109375" customWidth="1"/>
    <col min="12554" max="12554" width="0.33203125" customWidth="1"/>
    <col min="12555" max="12555" width="2.6640625" customWidth="1"/>
    <col min="12556" max="12556" width="12.6640625" customWidth="1"/>
    <col min="12557" max="12557" width="0.33203125" customWidth="1"/>
    <col min="12559" max="12559" width="8.6640625" customWidth="1"/>
    <col min="12801" max="12801" width="25" customWidth="1"/>
    <col min="12802" max="12802" width="2.33203125" customWidth="1"/>
    <col min="12803" max="12803" width="2.109375" customWidth="1"/>
    <col min="12804" max="12804" width="11.33203125" customWidth="1"/>
    <col min="12805" max="12805" width="0.33203125" customWidth="1"/>
    <col min="12806" max="12806" width="16.6640625" customWidth="1"/>
    <col min="12807" max="12807" width="0.5546875" customWidth="1"/>
    <col min="12808" max="12808" width="15.33203125" customWidth="1"/>
    <col min="12809" max="12809" width="0.109375" customWidth="1"/>
    <col min="12810" max="12810" width="0.33203125" customWidth="1"/>
    <col min="12811" max="12811" width="2.6640625" customWidth="1"/>
    <col min="12812" max="12812" width="12.6640625" customWidth="1"/>
    <col min="12813" max="12813" width="0.33203125" customWidth="1"/>
    <col min="12815" max="12815" width="8.6640625" customWidth="1"/>
    <col min="13057" max="13057" width="25" customWidth="1"/>
    <col min="13058" max="13058" width="2.33203125" customWidth="1"/>
    <col min="13059" max="13059" width="2.109375" customWidth="1"/>
    <col min="13060" max="13060" width="11.33203125" customWidth="1"/>
    <col min="13061" max="13061" width="0.33203125" customWidth="1"/>
    <col min="13062" max="13062" width="16.6640625" customWidth="1"/>
    <col min="13063" max="13063" width="0.5546875" customWidth="1"/>
    <col min="13064" max="13064" width="15.33203125" customWidth="1"/>
    <col min="13065" max="13065" width="0.109375" customWidth="1"/>
    <col min="13066" max="13066" width="0.33203125" customWidth="1"/>
    <col min="13067" max="13067" width="2.6640625" customWidth="1"/>
    <col min="13068" max="13068" width="12.6640625" customWidth="1"/>
    <col min="13069" max="13069" width="0.33203125" customWidth="1"/>
    <col min="13071" max="13071" width="8.6640625" customWidth="1"/>
    <col min="13313" max="13313" width="25" customWidth="1"/>
    <col min="13314" max="13314" width="2.33203125" customWidth="1"/>
    <col min="13315" max="13315" width="2.109375" customWidth="1"/>
    <col min="13316" max="13316" width="11.33203125" customWidth="1"/>
    <col min="13317" max="13317" width="0.33203125" customWidth="1"/>
    <col min="13318" max="13318" width="16.6640625" customWidth="1"/>
    <col min="13319" max="13319" width="0.5546875" customWidth="1"/>
    <col min="13320" max="13320" width="15.33203125" customWidth="1"/>
    <col min="13321" max="13321" width="0.109375" customWidth="1"/>
    <col min="13322" max="13322" width="0.33203125" customWidth="1"/>
    <col min="13323" max="13323" width="2.6640625" customWidth="1"/>
    <col min="13324" max="13324" width="12.6640625" customWidth="1"/>
    <col min="13325" max="13325" width="0.33203125" customWidth="1"/>
    <col min="13327" max="13327" width="8.6640625" customWidth="1"/>
    <col min="13569" max="13569" width="25" customWidth="1"/>
    <col min="13570" max="13570" width="2.33203125" customWidth="1"/>
    <col min="13571" max="13571" width="2.109375" customWidth="1"/>
    <col min="13572" max="13572" width="11.33203125" customWidth="1"/>
    <col min="13573" max="13573" width="0.33203125" customWidth="1"/>
    <col min="13574" max="13574" width="16.6640625" customWidth="1"/>
    <col min="13575" max="13575" width="0.5546875" customWidth="1"/>
    <col min="13576" max="13576" width="15.33203125" customWidth="1"/>
    <col min="13577" max="13577" width="0.109375" customWidth="1"/>
    <col min="13578" max="13578" width="0.33203125" customWidth="1"/>
    <col min="13579" max="13579" width="2.6640625" customWidth="1"/>
    <col min="13580" max="13580" width="12.6640625" customWidth="1"/>
    <col min="13581" max="13581" width="0.33203125" customWidth="1"/>
    <col min="13583" max="13583" width="8.6640625" customWidth="1"/>
    <col min="13825" max="13825" width="25" customWidth="1"/>
    <col min="13826" max="13826" width="2.33203125" customWidth="1"/>
    <col min="13827" max="13827" width="2.109375" customWidth="1"/>
    <col min="13828" max="13828" width="11.33203125" customWidth="1"/>
    <col min="13829" max="13829" width="0.33203125" customWidth="1"/>
    <col min="13830" max="13830" width="16.6640625" customWidth="1"/>
    <col min="13831" max="13831" width="0.5546875" customWidth="1"/>
    <col min="13832" max="13832" width="15.33203125" customWidth="1"/>
    <col min="13833" max="13833" width="0.109375" customWidth="1"/>
    <col min="13834" max="13834" width="0.33203125" customWidth="1"/>
    <col min="13835" max="13835" width="2.6640625" customWidth="1"/>
    <col min="13836" max="13836" width="12.6640625" customWidth="1"/>
    <col min="13837" max="13837" width="0.33203125" customWidth="1"/>
    <col min="13839" max="13839" width="8.6640625" customWidth="1"/>
    <col min="14081" max="14081" width="25" customWidth="1"/>
    <col min="14082" max="14082" width="2.33203125" customWidth="1"/>
    <col min="14083" max="14083" width="2.109375" customWidth="1"/>
    <col min="14084" max="14084" width="11.33203125" customWidth="1"/>
    <col min="14085" max="14085" width="0.33203125" customWidth="1"/>
    <col min="14086" max="14086" width="16.6640625" customWidth="1"/>
    <col min="14087" max="14087" width="0.5546875" customWidth="1"/>
    <col min="14088" max="14088" width="15.33203125" customWidth="1"/>
    <col min="14089" max="14089" width="0.109375" customWidth="1"/>
    <col min="14090" max="14090" width="0.33203125" customWidth="1"/>
    <col min="14091" max="14091" width="2.6640625" customWidth="1"/>
    <col min="14092" max="14092" width="12.6640625" customWidth="1"/>
    <col min="14093" max="14093" width="0.33203125" customWidth="1"/>
    <col min="14095" max="14095" width="8.6640625" customWidth="1"/>
    <col min="14337" max="14337" width="25" customWidth="1"/>
    <col min="14338" max="14338" width="2.33203125" customWidth="1"/>
    <col min="14339" max="14339" width="2.109375" customWidth="1"/>
    <col min="14340" max="14340" width="11.33203125" customWidth="1"/>
    <col min="14341" max="14341" width="0.33203125" customWidth="1"/>
    <col min="14342" max="14342" width="16.6640625" customWidth="1"/>
    <col min="14343" max="14343" width="0.5546875" customWidth="1"/>
    <col min="14344" max="14344" width="15.33203125" customWidth="1"/>
    <col min="14345" max="14345" width="0.109375" customWidth="1"/>
    <col min="14346" max="14346" width="0.33203125" customWidth="1"/>
    <col min="14347" max="14347" width="2.6640625" customWidth="1"/>
    <col min="14348" max="14348" width="12.6640625" customWidth="1"/>
    <col min="14349" max="14349" width="0.33203125" customWidth="1"/>
    <col min="14351" max="14351" width="8.6640625" customWidth="1"/>
    <col min="14593" max="14593" width="25" customWidth="1"/>
    <col min="14594" max="14594" width="2.33203125" customWidth="1"/>
    <col min="14595" max="14595" width="2.109375" customWidth="1"/>
    <col min="14596" max="14596" width="11.33203125" customWidth="1"/>
    <col min="14597" max="14597" width="0.33203125" customWidth="1"/>
    <col min="14598" max="14598" width="16.6640625" customWidth="1"/>
    <col min="14599" max="14599" width="0.5546875" customWidth="1"/>
    <col min="14600" max="14600" width="15.33203125" customWidth="1"/>
    <col min="14601" max="14601" width="0.109375" customWidth="1"/>
    <col min="14602" max="14602" width="0.33203125" customWidth="1"/>
    <col min="14603" max="14603" width="2.6640625" customWidth="1"/>
    <col min="14604" max="14604" width="12.6640625" customWidth="1"/>
    <col min="14605" max="14605" width="0.33203125" customWidth="1"/>
    <col min="14607" max="14607" width="8.6640625" customWidth="1"/>
    <col min="14849" max="14849" width="25" customWidth="1"/>
    <col min="14850" max="14850" width="2.33203125" customWidth="1"/>
    <col min="14851" max="14851" width="2.109375" customWidth="1"/>
    <col min="14852" max="14852" width="11.33203125" customWidth="1"/>
    <col min="14853" max="14853" width="0.33203125" customWidth="1"/>
    <col min="14854" max="14854" width="16.6640625" customWidth="1"/>
    <col min="14855" max="14855" width="0.5546875" customWidth="1"/>
    <col min="14856" max="14856" width="15.33203125" customWidth="1"/>
    <col min="14857" max="14857" width="0.109375" customWidth="1"/>
    <col min="14858" max="14858" width="0.33203125" customWidth="1"/>
    <col min="14859" max="14859" width="2.6640625" customWidth="1"/>
    <col min="14860" max="14860" width="12.6640625" customWidth="1"/>
    <col min="14861" max="14861" width="0.33203125" customWidth="1"/>
    <col min="14863" max="14863" width="8.6640625" customWidth="1"/>
    <col min="15105" max="15105" width="25" customWidth="1"/>
    <col min="15106" max="15106" width="2.33203125" customWidth="1"/>
    <col min="15107" max="15107" width="2.109375" customWidth="1"/>
    <col min="15108" max="15108" width="11.33203125" customWidth="1"/>
    <col min="15109" max="15109" width="0.33203125" customWidth="1"/>
    <col min="15110" max="15110" width="16.6640625" customWidth="1"/>
    <col min="15111" max="15111" width="0.5546875" customWidth="1"/>
    <col min="15112" max="15112" width="15.33203125" customWidth="1"/>
    <col min="15113" max="15113" width="0.109375" customWidth="1"/>
    <col min="15114" max="15114" width="0.33203125" customWidth="1"/>
    <col min="15115" max="15115" width="2.6640625" customWidth="1"/>
    <col min="15116" max="15116" width="12.6640625" customWidth="1"/>
    <col min="15117" max="15117" width="0.33203125" customWidth="1"/>
    <col min="15119" max="15119" width="8.6640625" customWidth="1"/>
    <col min="15361" max="15361" width="25" customWidth="1"/>
    <col min="15362" max="15362" width="2.33203125" customWidth="1"/>
    <col min="15363" max="15363" width="2.109375" customWidth="1"/>
    <col min="15364" max="15364" width="11.33203125" customWidth="1"/>
    <col min="15365" max="15365" width="0.33203125" customWidth="1"/>
    <col min="15366" max="15366" width="16.6640625" customWidth="1"/>
    <col min="15367" max="15367" width="0.5546875" customWidth="1"/>
    <col min="15368" max="15368" width="15.33203125" customWidth="1"/>
    <col min="15369" max="15369" width="0.109375" customWidth="1"/>
    <col min="15370" max="15370" width="0.33203125" customWidth="1"/>
    <col min="15371" max="15371" width="2.6640625" customWidth="1"/>
    <col min="15372" max="15372" width="12.6640625" customWidth="1"/>
    <col min="15373" max="15373" width="0.33203125" customWidth="1"/>
    <col min="15375" max="15375" width="8.6640625" customWidth="1"/>
    <col min="15617" max="15617" width="25" customWidth="1"/>
    <col min="15618" max="15618" width="2.33203125" customWidth="1"/>
    <col min="15619" max="15619" width="2.109375" customWidth="1"/>
    <col min="15620" max="15620" width="11.33203125" customWidth="1"/>
    <col min="15621" max="15621" width="0.33203125" customWidth="1"/>
    <col min="15622" max="15622" width="16.6640625" customWidth="1"/>
    <col min="15623" max="15623" width="0.5546875" customWidth="1"/>
    <col min="15624" max="15624" width="15.33203125" customWidth="1"/>
    <col min="15625" max="15625" width="0.109375" customWidth="1"/>
    <col min="15626" max="15626" width="0.33203125" customWidth="1"/>
    <col min="15627" max="15627" width="2.6640625" customWidth="1"/>
    <col min="15628" max="15628" width="12.6640625" customWidth="1"/>
    <col min="15629" max="15629" width="0.33203125" customWidth="1"/>
    <col min="15631" max="15631" width="8.6640625" customWidth="1"/>
    <col min="15873" max="15873" width="25" customWidth="1"/>
    <col min="15874" max="15874" width="2.33203125" customWidth="1"/>
    <col min="15875" max="15875" width="2.109375" customWidth="1"/>
    <col min="15876" max="15876" width="11.33203125" customWidth="1"/>
    <col min="15877" max="15877" width="0.33203125" customWidth="1"/>
    <col min="15878" max="15878" width="16.6640625" customWidth="1"/>
    <col min="15879" max="15879" width="0.5546875" customWidth="1"/>
    <col min="15880" max="15880" width="15.33203125" customWidth="1"/>
    <col min="15881" max="15881" width="0.109375" customWidth="1"/>
    <col min="15882" max="15882" width="0.33203125" customWidth="1"/>
    <col min="15883" max="15883" width="2.6640625" customWidth="1"/>
    <col min="15884" max="15884" width="12.6640625" customWidth="1"/>
    <col min="15885" max="15885" width="0.33203125" customWidth="1"/>
    <col min="15887" max="15887" width="8.6640625" customWidth="1"/>
    <col min="16129" max="16129" width="25" customWidth="1"/>
    <col min="16130" max="16130" width="2.33203125" customWidth="1"/>
    <col min="16131" max="16131" width="2.109375" customWidth="1"/>
    <col min="16132" max="16132" width="11.33203125" customWidth="1"/>
    <col min="16133" max="16133" width="0.33203125" customWidth="1"/>
    <col min="16134" max="16134" width="16.6640625" customWidth="1"/>
    <col min="16135" max="16135" width="0.5546875" customWidth="1"/>
    <col min="16136" max="16136" width="15.33203125" customWidth="1"/>
    <col min="16137" max="16137" width="0.109375" customWidth="1"/>
    <col min="16138" max="16138" width="0.33203125" customWidth="1"/>
    <col min="16139" max="16139" width="2.6640625" customWidth="1"/>
    <col min="16140" max="16140" width="12.6640625" customWidth="1"/>
    <col min="16141" max="16141" width="0.33203125" customWidth="1"/>
    <col min="16143" max="16143" width="8.6640625" customWidth="1"/>
  </cols>
  <sheetData>
    <row r="1" spans="1:15" ht="33" customHeight="1"/>
    <row r="2" spans="1:15" ht="23.25" customHeight="1">
      <c r="A2" s="464" t="s">
        <v>465</v>
      </c>
      <c r="B2" s="464"/>
      <c r="C2" s="464"/>
      <c r="D2" s="464"/>
      <c r="E2" s="464"/>
      <c r="F2" s="464"/>
      <c r="G2" s="464"/>
      <c r="H2" s="464"/>
      <c r="I2" s="464"/>
    </row>
    <row r="3" spans="1:15" ht="15.75" customHeight="1">
      <c r="A3" s="468" t="s">
        <v>466</v>
      </c>
      <c r="B3" s="468"/>
      <c r="C3" s="468"/>
      <c r="D3" s="468"/>
      <c r="E3" s="468"/>
      <c r="F3" s="468"/>
      <c r="G3" s="468"/>
      <c r="H3" s="468"/>
      <c r="I3" s="468"/>
    </row>
    <row r="4" spans="1:15" ht="12" customHeight="1">
      <c r="A4" s="468" t="s">
        <v>467</v>
      </c>
      <c r="B4" s="468"/>
      <c r="C4" s="468"/>
      <c r="D4" s="468"/>
    </row>
    <row r="5" spans="1:15" ht="4.5" customHeight="1">
      <c r="A5" s="468"/>
      <c r="B5" s="468"/>
      <c r="C5" s="468"/>
      <c r="D5" s="468"/>
    </row>
    <row r="6" spans="1:15" ht="6" customHeight="1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</row>
    <row r="7" spans="1:15" ht="14.25" customHeight="1">
      <c r="J7" s="503" t="s">
        <v>468</v>
      </c>
      <c r="K7" s="503"/>
      <c r="L7" s="503"/>
      <c r="M7" s="503"/>
      <c r="N7" s="503"/>
      <c r="O7" s="503"/>
    </row>
    <row r="8" spans="1:15" ht="22.5" customHeight="1">
      <c r="A8" s="504" t="s">
        <v>529</v>
      </c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</row>
    <row r="9" spans="1:15" ht="2.25" customHeight="1"/>
    <row r="10" spans="1:15" ht="18" customHeight="1">
      <c r="A10" s="506" t="s">
        <v>530</v>
      </c>
      <c r="B10" s="506"/>
      <c r="C10" s="506"/>
      <c r="D10" s="506"/>
      <c r="E10" s="507" t="s">
        <v>531</v>
      </c>
      <c r="F10" s="507"/>
      <c r="G10" s="507" t="s">
        <v>532</v>
      </c>
      <c r="H10" s="507"/>
      <c r="I10" s="507" t="s">
        <v>533</v>
      </c>
      <c r="J10" s="507"/>
      <c r="K10" s="507"/>
      <c r="L10" s="507"/>
      <c r="M10" s="507" t="s">
        <v>534</v>
      </c>
      <c r="N10" s="507"/>
      <c r="O10" s="507"/>
    </row>
    <row r="11" spans="1:15" ht="21.75" customHeight="1">
      <c r="A11" s="464" t="s">
        <v>465</v>
      </c>
      <c r="B11" s="464"/>
      <c r="C11" s="464"/>
      <c r="D11" s="464"/>
      <c r="J11" s="503" t="s">
        <v>468</v>
      </c>
      <c r="K11" s="503"/>
      <c r="L11" s="503"/>
      <c r="M11" s="503"/>
      <c r="N11" s="503"/>
      <c r="O11" s="503"/>
    </row>
    <row r="12" spans="1:15" ht="1.5" customHeight="1">
      <c r="A12" s="464"/>
      <c r="B12" s="464"/>
      <c r="C12" s="464"/>
      <c r="D12" s="464"/>
    </row>
    <row r="13" spans="1:15" ht="3.75" customHeight="1"/>
    <row r="14" spans="1:15" ht="5.25" customHeight="1">
      <c r="A14" s="505"/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</row>
    <row r="15" spans="1:15" ht="18" customHeight="1">
      <c r="A15" s="506" t="s">
        <v>530</v>
      </c>
      <c r="B15" s="506"/>
      <c r="C15" s="506"/>
      <c r="D15" s="506"/>
      <c r="E15" s="507" t="s">
        <v>531</v>
      </c>
      <c r="F15" s="507"/>
      <c r="G15" s="507" t="s">
        <v>532</v>
      </c>
      <c r="H15" s="507"/>
      <c r="I15" s="507" t="s">
        <v>533</v>
      </c>
      <c r="J15" s="507"/>
      <c r="K15" s="507"/>
      <c r="L15" s="507"/>
      <c r="M15" s="507" t="s">
        <v>534</v>
      </c>
      <c r="N15" s="507"/>
      <c r="O15" s="507"/>
    </row>
    <row r="16" spans="1:15" ht="18" customHeight="1">
      <c r="A16" s="501" t="s">
        <v>535</v>
      </c>
      <c r="B16" s="501"/>
      <c r="C16" s="501"/>
      <c r="D16" s="501"/>
      <c r="E16" s="501"/>
      <c r="F16" s="493">
        <v>2347269.83</v>
      </c>
      <c r="G16" s="493"/>
      <c r="H16" s="493">
        <v>1645019.18</v>
      </c>
      <c r="I16" s="493"/>
      <c r="J16" s="493"/>
      <c r="K16" s="493">
        <v>1645019.18</v>
      </c>
      <c r="L16" s="493"/>
      <c r="M16" s="493"/>
      <c r="N16" s="493">
        <v>702250.65</v>
      </c>
      <c r="O16" s="493"/>
    </row>
    <row r="17" spans="1:15" ht="18" customHeight="1">
      <c r="A17" s="496" t="s">
        <v>475</v>
      </c>
      <c r="B17" s="496"/>
      <c r="C17" s="496"/>
      <c r="D17" s="496"/>
      <c r="E17" s="496"/>
      <c r="F17" s="493">
        <v>1457769.83</v>
      </c>
      <c r="G17" s="493"/>
      <c r="H17" s="493">
        <v>1645019.18</v>
      </c>
      <c r="I17" s="493"/>
      <c r="J17" s="493"/>
      <c r="K17" s="493">
        <v>1645019.18</v>
      </c>
      <c r="L17" s="493"/>
      <c r="M17" s="493"/>
      <c r="N17" s="493">
        <v>-187249.35</v>
      </c>
      <c r="O17" s="493"/>
    </row>
    <row r="18" spans="1:15" ht="18" customHeight="1">
      <c r="A18" s="497" t="s">
        <v>476</v>
      </c>
      <c r="B18" s="497"/>
      <c r="C18" s="497"/>
      <c r="D18" s="497"/>
      <c r="E18" s="497"/>
      <c r="F18" s="493">
        <v>554875.63</v>
      </c>
      <c r="G18" s="493"/>
      <c r="H18" s="493">
        <v>552343.98</v>
      </c>
      <c r="I18" s="493"/>
      <c r="J18" s="493"/>
      <c r="K18" s="493">
        <v>552343.98</v>
      </c>
      <c r="L18" s="493"/>
      <c r="M18" s="493"/>
      <c r="N18" s="493">
        <v>2531.65</v>
      </c>
      <c r="O18" s="493"/>
    </row>
    <row r="19" spans="1:15" ht="18" customHeight="1">
      <c r="A19" s="492" t="s">
        <v>477</v>
      </c>
      <c r="B19" s="492"/>
      <c r="C19" s="492"/>
      <c r="D19" s="492"/>
      <c r="E19" s="492"/>
      <c r="F19" s="493">
        <v>554875.63</v>
      </c>
      <c r="G19" s="493"/>
      <c r="H19" s="493">
        <v>552343.98</v>
      </c>
      <c r="I19" s="493"/>
      <c r="J19" s="493"/>
      <c r="K19" s="493">
        <v>552343.98</v>
      </c>
      <c r="L19" s="493"/>
      <c r="M19" s="493"/>
      <c r="N19" s="493">
        <v>2531.65</v>
      </c>
      <c r="O19" s="493"/>
    </row>
    <row r="20" spans="1:15" ht="18" customHeight="1">
      <c r="A20" s="499" t="s">
        <v>478</v>
      </c>
      <c r="B20" s="499"/>
      <c r="C20" s="499"/>
      <c r="D20" s="499"/>
      <c r="E20" s="499"/>
      <c r="F20" s="493">
        <v>554875.63</v>
      </c>
      <c r="G20" s="493"/>
      <c r="H20" s="493">
        <v>552343.98</v>
      </c>
      <c r="I20" s="493"/>
      <c r="J20" s="493"/>
      <c r="K20" s="493">
        <v>552343.98</v>
      </c>
      <c r="L20" s="493"/>
      <c r="M20" s="493"/>
      <c r="N20" s="493">
        <v>2531.65</v>
      </c>
      <c r="O20" s="493"/>
    </row>
    <row r="21" spans="1:15" ht="18" customHeight="1">
      <c r="A21" s="500" t="s">
        <v>536</v>
      </c>
      <c r="B21" s="500"/>
      <c r="C21" s="500"/>
      <c r="D21" s="500"/>
      <c r="E21" s="500"/>
      <c r="F21" s="495">
        <v>437802.01</v>
      </c>
      <c r="G21" s="495"/>
      <c r="H21" s="495">
        <v>414714.22</v>
      </c>
      <c r="I21" s="495"/>
      <c r="J21" s="495"/>
      <c r="K21" s="495">
        <v>414714.22</v>
      </c>
      <c r="L21" s="495"/>
      <c r="M21" s="495"/>
      <c r="N21" s="495">
        <v>23087.79</v>
      </c>
      <c r="O21" s="495"/>
    </row>
    <row r="22" spans="1:15" ht="18" customHeight="1">
      <c r="A22" s="500" t="s">
        <v>537</v>
      </c>
      <c r="B22" s="500"/>
      <c r="C22" s="500"/>
      <c r="D22" s="500"/>
      <c r="E22" s="500"/>
      <c r="F22" s="495">
        <v>73005.62</v>
      </c>
      <c r="G22" s="495"/>
      <c r="H22" s="495">
        <v>101799.7</v>
      </c>
      <c r="I22" s="495"/>
      <c r="J22" s="495"/>
      <c r="K22" s="495">
        <v>101799.7</v>
      </c>
      <c r="L22" s="495"/>
      <c r="M22" s="495"/>
      <c r="N22" s="495">
        <v>-28794.080000000002</v>
      </c>
      <c r="O22" s="495"/>
    </row>
    <row r="23" spans="1:15" ht="18" customHeight="1">
      <c r="A23" s="500" t="s">
        <v>538</v>
      </c>
      <c r="B23" s="500"/>
      <c r="C23" s="500"/>
      <c r="D23" s="500"/>
      <c r="E23" s="500"/>
      <c r="F23" s="495">
        <v>28552.21</v>
      </c>
      <c r="G23" s="495"/>
      <c r="H23" s="495">
        <v>21155.439999999999</v>
      </c>
      <c r="I23" s="495"/>
      <c r="J23" s="495"/>
      <c r="K23" s="495">
        <v>21155.439999999999</v>
      </c>
      <c r="L23" s="495"/>
      <c r="M23" s="495"/>
      <c r="N23" s="495">
        <v>7396.77</v>
      </c>
      <c r="O23" s="495"/>
    </row>
    <row r="24" spans="1:15" ht="18" customHeight="1">
      <c r="A24" s="500" t="s">
        <v>539</v>
      </c>
      <c r="B24" s="500"/>
      <c r="C24" s="500"/>
      <c r="D24" s="500"/>
      <c r="E24" s="500"/>
      <c r="F24" s="495">
        <v>15515.79</v>
      </c>
      <c r="G24" s="495"/>
      <c r="H24" s="495">
        <v>14674.62</v>
      </c>
      <c r="I24" s="495"/>
      <c r="J24" s="495"/>
      <c r="K24" s="495">
        <v>14674.62</v>
      </c>
      <c r="L24" s="495"/>
      <c r="M24" s="495"/>
      <c r="N24" s="495">
        <v>841.17</v>
      </c>
      <c r="O24" s="495"/>
    </row>
    <row r="25" spans="1:15" ht="18" customHeight="1">
      <c r="A25" s="497" t="s">
        <v>479</v>
      </c>
      <c r="B25" s="497"/>
      <c r="C25" s="497"/>
      <c r="D25" s="497"/>
      <c r="E25" s="497"/>
      <c r="F25" s="493">
        <v>648401.06000000006</v>
      </c>
      <c r="G25" s="493"/>
      <c r="H25" s="493">
        <v>772638.63</v>
      </c>
      <c r="I25" s="493"/>
      <c r="J25" s="493"/>
      <c r="K25" s="493">
        <v>772638.63</v>
      </c>
      <c r="L25" s="493"/>
      <c r="M25" s="493"/>
      <c r="N25" s="493">
        <v>-124237.57</v>
      </c>
      <c r="O25" s="493"/>
    </row>
    <row r="26" spans="1:15" ht="18" customHeight="1">
      <c r="A26" s="492" t="s">
        <v>480</v>
      </c>
      <c r="B26" s="492"/>
      <c r="C26" s="492"/>
      <c r="D26" s="492"/>
      <c r="E26" s="492"/>
      <c r="F26" s="493">
        <v>0</v>
      </c>
      <c r="G26" s="493"/>
      <c r="H26" s="493">
        <v>3188.3</v>
      </c>
      <c r="I26" s="493"/>
      <c r="J26" s="493"/>
      <c r="K26" s="493">
        <v>3188.3</v>
      </c>
      <c r="L26" s="493"/>
      <c r="M26" s="493"/>
      <c r="N26" s="493">
        <v>-3188.3</v>
      </c>
      <c r="O26" s="493"/>
    </row>
    <row r="27" spans="1:15" ht="18" customHeight="1">
      <c r="A27" s="494" t="s">
        <v>540</v>
      </c>
      <c r="B27" s="494"/>
      <c r="C27" s="494"/>
      <c r="D27" s="494"/>
      <c r="E27" s="494"/>
      <c r="F27" s="495">
        <v>0</v>
      </c>
      <c r="G27" s="495"/>
      <c r="H27" s="495">
        <v>3188.3</v>
      </c>
      <c r="I27" s="495"/>
      <c r="J27" s="495"/>
      <c r="K27" s="495">
        <v>3188.3</v>
      </c>
      <c r="L27" s="495"/>
      <c r="M27" s="495"/>
      <c r="N27" s="495">
        <v>-3188.3</v>
      </c>
      <c r="O27" s="495"/>
    </row>
    <row r="28" spans="1:15" ht="19.5" customHeight="1">
      <c r="A28" s="492" t="s">
        <v>541</v>
      </c>
      <c r="B28" s="492"/>
      <c r="C28" s="492"/>
      <c r="D28" s="492"/>
      <c r="E28" s="492"/>
      <c r="F28" s="493">
        <v>648401.06000000006</v>
      </c>
      <c r="G28" s="493"/>
      <c r="H28" s="493">
        <v>769450.33</v>
      </c>
      <c r="I28" s="493"/>
      <c r="J28" s="493"/>
      <c r="K28" s="493">
        <v>769450.33</v>
      </c>
      <c r="L28" s="493"/>
      <c r="M28" s="493"/>
      <c r="N28" s="493">
        <v>-121049.27</v>
      </c>
      <c r="O28" s="493"/>
    </row>
    <row r="29" spans="1:15" ht="18" customHeight="1">
      <c r="A29" s="494" t="s">
        <v>542</v>
      </c>
      <c r="B29" s="494"/>
      <c r="C29" s="494"/>
      <c r="D29" s="494"/>
      <c r="E29" s="494"/>
      <c r="F29" s="495">
        <v>0</v>
      </c>
      <c r="G29" s="495"/>
      <c r="H29" s="495">
        <v>70865.89</v>
      </c>
      <c r="I29" s="495"/>
      <c r="J29" s="495"/>
      <c r="K29" s="495">
        <v>70865.89</v>
      </c>
      <c r="L29" s="495"/>
      <c r="M29" s="495"/>
      <c r="N29" s="495">
        <v>-70865.89</v>
      </c>
      <c r="O29" s="495"/>
    </row>
    <row r="30" spans="1:15" ht="18" customHeight="1">
      <c r="A30" s="494" t="s">
        <v>543</v>
      </c>
      <c r="B30" s="494"/>
      <c r="C30" s="494"/>
      <c r="D30" s="494"/>
      <c r="E30" s="494"/>
      <c r="F30" s="495">
        <v>648401.06000000006</v>
      </c>
      <c r="G30" s="495"/>
      <c r="H30" s="495">
        <v>698584.44</v>
      </c>
      <c r="I30" s="495"/>
      <c r="J30" s="495"/>
      <c r="K30" s="495">
        <v>698584.44</v>
      </c>
      <c r="L30" s="495"/>
      <c r="M30" s="495"/>
      <c r="N30" s="495">
        <v>-50183.38</v>
      </c>
      <c r="O30" s="495"/>
    </row>
    <row r="31" spans="1:15" ht="18" customHeight="1">
      <c r="A31" s="497" t="s">
        <v>482</v>
      </c>
      <c r="B31" s="497"/>
      <c r="C31" s="497"/>
      <c r="D31" s="497"/>
      <c r="E31" s="497"/>
      <c r="F31" s="493">
        <v>99526.63</v>
      </c>
      <c r="G31" s="493"/>
      <c r="H31" s="493">
        <v>201106.37</v>
      </c>
      <c r="I31" s="493"/>
      <c r="J31" s="493"/>
      <c r="K31" s="493">
        <v>201106.37</v>
      </c>
      <c r="L31" s="493"/>
      <c r="M31" s="493"/>
      <c r="N31" s="493">
        <v>-101579.74</v>
      </c>
      <c r="O31" s="493"/>
    </row>
    <row r="32" spans="1:15" ht="18" customHeight="1">
      <c r="A32" s="492" t="s">
        <v>483</v>
      </c>
      <c r="B32" s="492"/>
      <c r="C32" s="492"/>
      <c r="D32" s="492"/>
      <c r="E32" s="492"/>
      <c r="F32" s="493">
        <v>0</v>
      </c>
      <c r="G32" s="493"/>
      <c r="H32" s="493">
        <v>31722.080000000002</v>
      </c>
      <c r="I32" s="493"/>
      <c r="J32" s="493"/>
      <c r="K32" s="493">
        <v>31722.080000000002</v>
      </c>
      <c r="L32" s="493"/>
      <c r="M32" s="493"/>
      <c r="N32" s="493">
        <v>-31722.080000000002</v>
      </c>
      <c r="O32" s="493"/>
    </row>
    <row r="33" spans="1:15" ht="18" customHeight="1">
      <c r="A33" s="494" t="s">
        <v>544</v>
      </c>
      <c r="B33" s="494"/>
      <c r="C33" s="494"/>
      <c r="D33" s="494"/>
      <c r="E33" s="494"/>
      <c r="F33" s="495">
        <v>0</v>
      </c>
      <c r="G33" s="495"/>
      <c r="H33" s="495">
        <v>31722.080000000002</v>
      </c>
      <c r="I33" s="495"/>
      <c r="J33" s="495"/>
      <c r="K33" s="495">
        <v>31722.080000000002</v>
      </c>
      <c r="L33" s="495"/>
      <c r="M33" s="495"/>
      <c r="N33" s="495">
        <v>-31722.080000000002</v>
      </c>
      <c r="O33" s="495"/>
    </row>
    <row r="34" spans="1:15" ht="18" customHeight="1">
      <c r="A34" s="492" t="s">
        <v>484</v>
      </c>
      <c r="B34" s="492"/>
      <c r="C34" s="492"/>
      <c r="D34" s="492"/>
      <c r="E34" s="492"/>
      <c r="F34" s="493">
        <v>99526.63</v>
      </c>
      <c r="G34" s="493"/>
      <c r="H34" s="493">
        <v>169384.29</v>
      </c>
      <c r="I34" s="493"/>
      <c r="J34" s="493"/>
      <c r="K34" s="493">
        <v>169384.29</v>
      </c>
      <c r="L34" s="493"/>
      <c r="M34" s="493"/>
      <c r="N34" s="493">
        <v>-69857.66</v>
      </c>
      <c r="O34" s="493"/>
    </row>
    <row r="35" spans="1:15" ht="18" customHeight="1">
      <c r="A35" s="499" t="s">
        <v>485</v>
      </c>
      <c r="B35" s="499"/>
      <c r="C35" s="499"/>
      <c r="D35" s="499"/>
      <c r="E35" s="499"/>
      <c r="F35" s="493">
        <v>0</v>
      </c>
      <c r="G35" s="493"/>
      <c r="H35" s="493">
        <v>148.83000000000001</v>
      </c>
      <c r="I35" s="493"/>
      <c r="J35" s="493"/>
      <c r="K35" s="493">
        <v>148.83000000000001</v>
      </c>
      <c r="L35" s="493"/>
      <c r="M35" s="493"/>
      <c r="N35" s="493">
        <v>-148.83000000000001</v>
      </c>
      <c r="O35" s="493"/>
    </row>
    <row r="36" spans="1:15" ht="18" customHeight="1">
      <c r="A36" s="500" t="s">
        <v>544</v>
      </c>
      <c r="B36" s="500"/>
      <c r="C36" s="500"/>
      <c r="D36" s="500"/>
      <c r="E36" s="500"/>
      <c r="F36" s="495">
        <v>0</v>
      </c>
      <c r="G36" s="495"/>
      <c r="H36" s="495">
        <v>148.83000000000001</v>
      </c>
      <c r="I36" s="495"/>
      <c r="J36" s="495"/>
      <c r="K36" s="495">
        <v>148.83000000000001</v>
      </c>
      <c r="L36" s="495"/>
      <c r="M36" s="495"/>
      <c r="N36" s="495">
        <v>-148.83000000000001</v>
      </c>
      <c r="O36" s="495"/>
    </row>
    <row r="37" spans="1:15" ht="18" customHeight="1">
      <c r="A37" s="499" t="s">
        <v>486</v>
      </c>
      <c r="B37" s="499"/>
      <c r="C37" s="499"/>
      <c r="D37" s="499"/>
      <c r="E37" s="499"/>
      <c r="F37" s="493">
        <v>47526.63</v>
      </c>
      <c r="G37" s="493"/>
      <c r="H37" s="493">
        <v>37938.269999999997</v>
      </c>
      <c r="I37" s="493"/>
      <c r="J37" s="493"/>
      <c r="K37" s="493">
        <v>37938.269999999997</v>
      </c>
      <c r="L37" s="493"/>
      <c r="M37" s="493"/>
      <c r="N37" s="493">
        <v>9588.36</v>
      </c>
      <c r="O37" s="493"/>
    </row>
    <row r="38" spans="1:15" ht="18" customHeight="1">
      <c r="A38" s="500" t="s">
        <v>544</v>
      </c>
      <c r="B38" s="500"/>
      <c r="C38" s="500"/>
      <c r="D38" s="500"/>
      <c r="E38" s="500"/>
      <c r="F38" s="495">
        <v>47526.63</v>
      </c>
      <c r="G38" s="495"/>
      <c r="H38" s="495">
        <v>36931.949999999997</v>
      </c>
      <c r="I38" s="495"/>
      <c r="J38" s="495"/>
      <c r="K38" s="495">
        <v>36931.949999999997</v>
      </c>
      <c r="L38" s="495"/>
      <c r="M38" s="495"/>
      <c r="N38" s="495">
        <v>10594.68</v>
      </c>
      <c r="O38" s="495"/>
    </row>
    <row r="39" spans="1:15" ht="18" customHeight="1">
      <c r="A39" s="500" t="s">
        <v>545</v>
      </c>
      <c r="B39" s="500"/>
      <c r="C39" s="500"/>
      <c r="D39" s="500"/>
      <c r="E39" s="500"/>
      <c r="F39" s="495">
        <v>0</v>
      </c>
      <c r="G39" s="495"/>
      <c r="H39" s="495">
        <v>1006.32</v>
      </c>
      <c r="I39" s="495"/>
      <c r="J39" s="495"/>
      <c r="K39" s="495">
        <v>1006.32</v>
      </c>
      <c r="L39" s="495"/>
      <c r="M39" s="495"/>
      <c r="N39" s="495">
        <v>-1006.32</v>
      </c>
      <c r="O39" s="495"/>
    </row>
    <row r="40" spans="1:15" ht="18.75" customHeight="1">
      <c r="A40" s="499" t="s">
        <v>487</v>
      </c>
      <c r="B40" s="499"/>
      <c r="C40" s="499"/>
      <c r="D40" s="499"/>
      <c r="E40" s="499"/>
      <c r="F40" s="493">
        <v>52000</v>
      </c>
      <c r="G40" s="493"/>
      <c r="H40" s="493">
        <v>131297.19</v>
      </c>
      <c r="I40" s="493"/>
      <c r="J40" s="493"/>
      <c r="K40" s="493">
        <v>131297.19</v>
      </c>
      <c r="L40" s="493"/>
      <c r="M40" s="493"/>
      <c r="N40" s="493">
        <v>-79297.19</v>
      </c>
      <c r="O40" s="493"/>
    </row>
    <row r="41" spans="1:15" ht="18" customHeight="1">
      <c r="A41" s="500" t="s">
        <v>546</v>
      </c>
      <c r="B41" s="500"/>
      <c r="C41" s="500"/>
      <c r="D41" s="500"/>
      <c r="E41" s="500"/>
      <c r="F41" s="495">
        <v>52000</v>
      </c>
      <c r="G41" s="495"/>
      <c r="H41" s="495">
        <v>131297.19</v>
      </c>
      <c r="I41" s="495"/>
      <c r="J41" s="495"/>
      <c r="K41" s="495">
        <v>131297.19</v>
      </c>
      <c r="L41" s="495"/>
      <c r="M41" s="495"/>
      <c r="N41" s="495">
        <v>-79297.19</v>
      </c>
      <c r="O41" s="495"/>
    </row>
    <row r="42" spans="1:15" ht="18" customHeight="1">
      <c r="A42" s="497" t="s">
        <v>488</v>
      </c>
      <c r="B42" s="497"/>
      <c r="C42" s="497"/>
      <c r="D42" s="497"/>
      <c r="E42" s="497"/>
      <c r="F42" s="493">
        <v>150200.19</v>
      </c>
      <c r="G42" s="493"/>
      <c r="H42" s="493">
        <v>111471.03999999999</v>
      </c>
      <c r="I42" s="493"/>
      <c r="J42" s="493"/>
      <c r="K42" s="493">
        <v>111471.03999999999</v>
      </c>
      <c r="L42" s="493"/>
      <c r="M42" s="493"/>
      <c r="N42" s="493">
        <v>38729.15</v>
      </c>
      <c r="O42" s="493"/>
    </row>
    <row r="43" spans="1:15" ht="18" customHeight="1">
      <c r="A43" s="498" t="s">
        <v>547</v>
      </c>
      <c r="B43" s="498"/>
      <c r="C43" s="498"/>
      <c r="D43" s="498"/>
      <c r="E43" s="498"/>
      <c r="F43" s="495">
        <v>150200.19</v>
      </c>
      <c r="G43" s="495"/>
      <c r="H43" s="495">
        <v>111471.03999999999</v>
      </c>
      <c r="I43" s="495"/>
      <c r="J43" s="495"/>
      <c r="K43" s="495">
        <v>111471.03999999999</v>
      </c>
      <c r="L43" s="495"/>
      <c r="M43" s="495"/>
      <c r="N43" s="495">
        <v>38729.15</v>
      </c>
      <c r="O43" s="495"/>
    </row>
    <row r="44" spans="1:15" ht="18" customHeight="1">
      <c r="A44" s="497" t="s">
        <v>489</v>
      </c>
      <c r="B44" s="497"/>
      <c r="C44" s="497"/>
      <c r="D44" s="497"/>
      <c r="E44" s="497"/>
      <c r="F44" s="493">
        <v>4766.32</v>
      </c>
      <c r="G44" s="493"/>
      <c r="H44" s="493">
        <v>7459.16</v>
      </c>
      <c r="I44" s="493"/>
      <c r="J44" s="493"/>
      <c r="K44" s="493">
        <v>7459.16</v>
      </c>
      <c r="L44" s="493"/>
      <c r="M44" s="493"/>
      <c r="N44" s="493">
        <v>-2692.84</v>
      </c>
      <c r="O44" s="493"/>
    </row>
    <row r="45" spans="1:15" ht="18" customHeight="1">
      <c r="A45" s="492" t="s">
        <v>490</v>
      </c>
      <c r="B45" s="492"/>
      <c r="C45" s="492"/>
      <c r="D45" s="492"/>
      <c r="E45" s="492"/>
      <c r="F45" s="493">
        <v>0</v>
      </c>
      <c r="G45" s="493"/>
      <c r="H45" s="493">
        <v>608.5</v>
      </c>
      <c r="I45" s="493"/>
      <c r="J45" s="493"/>
      <c r="K45" s="493">
        <v>608.5</v>
      </c>
      <c r="L45" s="493"/>
      <c r="M45" s="493"/>
      <c r="N45" s="493">
        <v>-608.5</v>
      </c>
      <c r="O45" s="493"/>
    </row>
    <row r="46" spans="1:15" ht="18" customHeight="1">
      <c r="A46" s="494" t="s">
        <v>544</v>
      </c>
      <c r="B46" s="494"/>
      <c r="C46" s="494"/>
      <c r="D46" s="494"/>
      <c r="E46" s="494"/>
      <c r="F46" s="495">
        <v>0</v>
      </c>
      <c r="G46" s="495"/>
      <c r="H46" s="495">
        <v>608.5</v>
      </c>
      <c r="I46" s="495"/>
      <c r="J46" s="495"/>
      <c r="K46" s="495">
        <v>608.5</v>
      </c>
      <c r="L46" s="495"/>
      <c r="M46" s="495"/>
      <c r="N46" s="495">
        <v>-608.5</v>
      </c>
      <c r="O46" s="495"/>
    </row>
    <row r="47" spans="1:15" ht="18" customHeight="1">
      <c r="A47" s="492" t="s">
        <v>491</v>
      </c>
      <c r="B47" s="492"/>
      <c r="C47" s="492"/>
      <c r="D47" s="492"/>
      <c r="E47" s="492"/>
      <c r="F47" s="493">
        <v>4766.32</v>
      </c>
      <c r="G47" s="493"/>
      <c r="H47" s="493">
        <v>6850.66</v>
      </c>
      <c r="I47" s="493"/>
      <c r="J47" s="493"/>
      <c r="K47" s="493">
        <v>6850.66</v>
      </c>
      <c r="L47" s="493"/>
      <c r="M47" s="493"/>
      <c r="N47" s="493">
        <v>-2084.34</v>
      </c>
      <c r="O47" s="493"/>
    </row>
    <row r="48" spans="1:15" ht="18" customHeight="1">
      <c r="A48" s="494" t="s">
        <v>548</v>
      </c>
      <c r="B48" s="494"/>
      <c r="C48" s="494"/>
      <c r="D48" s="494"/>
      <c r="E48" s="494"/>
      <c r="F48" s="495">
        <v>0</v>
      </c>
      <c r="G48" s="495"/>
      <c r="H48" s="495">
        <v>2753.6</v>
      </c>
      <c r="I48" s="495"/>
      <c r="J48" s="495"/>
      <c r="K48" s="495">
        <v>2753.6</v>
      </c>
      <c r="L48" s="495"/>
      <c r="M48" s="495"/>
      <c r="N48" s="495">
        <v>-2753.6</v>
      </c>
      <c r="O48" s="495"/>
    </row>
    <row r="49" spans="1:15" ht="18" customHeight="1">
      <c r="A49" s="494" t="s">
        <v>549</v>
      </c>
      <c r="B49" s="494"/>
      <c r="C49" s="494"/>
      <c r="D49" s="494"/>
      <c r="E49" s="494"/>
      <c r="F49" s="495">
        <v>4766.32</v>
      </c>
      <c r="G49" s="495"/>
      <c r="H49" s="495">
        <v>4097.0600000000004</v>
      </c>
      <c r="I49" s="495"/>
      <c r="J49" s="495"/>
      <c r="K49" s="495">
        <v>4097.0600000000004</v>
      </c>
      <c r="L49" s="495"/>
      <c r="M49" s="495"/>
      <c r="N49" s="495">
        <v>669.26</v>
      </c>
      <c r="O49" s="495"/>
    </row>
    <row r="50" spans="1:15" ht="18" customHeight="1">
      <c r="A50" s="496" t="s">
        <v>492</v>
      </c>
      <c r="B50" s="496"/>
      <c r="C50" s="496"/>
      <c r="D50" s="496"/>
      <c r="E50" s="496"/>
      <c r="F50" s="493">
        <v>889500</v>
      </c>
      <c r="G50" s="493"/>
      <c r="H50" s="493">
        <v>0</v>
      </c>
      <c r="I50" s="493"/>
      <c r="J50" s="493"/>
      <c r="K50" s="493">
        <v>0</v>
      </c>
      <c r="L50" s="493"/>
      <c r="M50" s="493"/>
      <c r="N50" s="493">
        <v>889500</v>
      </c>
      <c r="O50" s="493"/>
    </row>
    <row r="51" spans="1:15" ht="18" customHeight="1">
      <c r="A51" s="497" t="s">
        <v>493</v>
      </c>
      <c r="B51" s="497"/>
      <c r="C51" s="497"/>
      <c r="D51" s="497"/>
      <c r="E51" s="497"/>
      <c r="F51" s="493">
        <v>889500</v>
      </c>
      <c r="G51" s="493"/>
      <c r="H51" s="493">
        <v>0</v>
      </c>
      <c r="I51" s="493"/>
      <c r="J51" s="493"/>
      <c r="K51" s="493">
        <v>0</v>
      </c>
      <c r="L51" s="493"/>
      <c r="M51" s="493"/>
      <c r="N51" s="493">
        <v>889500</v>
      </c>
      <c r="O51" s="493"/>
    </row>
    <row r="52" spans="1:15" ht="18" customHeight="1">
      <c r="A52" s="492" t="s">
        <v>494</v>
      </c>
      <c r="B52" s="492"/>
      <c r="C52" s="492"/>
      <c r="D52" s="492"/>
      <c r="E52" s="492"/>
      <c r="F52" s="493">
        <v>889500</v>
      </c>
      <c r="G52" s="493"/>
      <c r="H52" s="493">
        <v>0</v>
      </c>
      <c r="I52" s="493"/>
      <c r="J52" s="493"/>
      <c r="K52" s="493">
        <v>0</v>
      </c>
      <c r="L52" s="493"/>
      <c r="M52" s="493"/>
      <c r="N52" s="493">
        <v>889500</v>
      </c>
      <c r="O52" s="493"/>
    </row>
    <row r="53" spans="1:15" ht="22.5" customHeight="1">
      <c r="A53" s="494" t="s">
        <v>550</v>
      </c>
      <c r="B53" s="494"/>
      <c r="C53" s="494"/>
      <c r="D53" s="494"/>
      <c r="E53" s="494"/>
      <c r="F53" s="495">
        <v>889500</v>
      </c>
      <c r="G53" s="495"/>
      <c r="H53" s="495">
        <v>0</v>
      </c>
      <c r="I53" s="495"/>
      <c r="J53" s="495"/>
      <c r="K53" s="495">
        <v>0</v>
      </c>
      <c r="L53" s="495"/>
      <c r="M53" s="495"/>
      <c r="N53" s="495">
        <v>889500</v>
      </c>
      <c r="O53" s="495"/>
    </row>
    <row r="54" spans="1:15" ht="54" customHeight="1">
      <c r="A54" s="490" t="s">
        <v>551</v>
      </c>
      <c r="B54" s="490"/>
      <c r="C54" s="490"/>
      <c r="D54" s="490"/>
      <c r="E54" s="452">
        <v>2347269.83</v>
      </c>
      <c r="F54" s="452"/>
      <c r="G54" s="452">
        <v>1645019.18</v>
      </c>
      <c r="H54" s="452"/>
      <c r="I54" s="452">
        <v>1645019.18</v>
      </c>
      <c r="J54" s="452"/>
      <c r="K54" s="452"/>
      <c r="L54" s="452"/>
      <c r="M54" s="452">
        <v>702250.65</v>
      </c>
      <c r="N54" s="452"/>
      <c r="O54" s="452"/>
    </row>
    <row r="55" spans="1:15" ht="11.25" customHeight="1">
      <c r="C55" s="491"/>
      <c r="D55" s="491"/>
      <c r="E55" s="491"/>
      <c r="F55" s="491"/>
      <c r="G55" s="491"/>
      <c r="H55" s="491"/>
      <c r="I55" s="491"/>
      <c r="J55" s="491"/>
      <c r="K55" s="491"/>
      <c r="L55" s="491"/>
      <c r="M55" s="491"/>
      <c r="N55" s="491"/>
    </row>
    <row r="56" spans="1:15" ht="53.25" customHeight="1"/>
    <row r="57" spans="1:15" ht="12" customHeight="1">
      <c r="M57" s="488" t="s">
        <v>527</v>
      </c>
      <c r="N57" s="488"/>
      <c r="O57" s="488"/>
    </row>
    <row r="58" spans="1:15" ht="1.5" customHeight="1">
      <c r="D58" s="489" t="s">
        <v>528</v>
      </c>
      <c r="E58" s="489"/>
      <c r="F58" s="489"/>
      <c r="G58" s="489"/>
      <c r="H58" s="489"/>
      <c r="I58" s="489"/>
      <c r="J58" s="489"/>
      <c r="K58" s="489"/>
      <c r="M58" s="488"/>
      <c r="N58" s="488"/>
      <c r="O58" s="488"/>
    </row>
    <row r="59" spans="1:15" ht="11.25" customHeight="1">
      <c r="D59" s="489"/>
      <c r="E59" s="489"/>
      <c r="F59" s="489"/>
      <c r="G59" s="489"/>
      <c r="H59" s="489"/>
      <c r="I59" s="489"/>
      <c r="J59" s="489"/>
      <c r="K59" s="489"/>
    </row>
  </sheetData>
  <mergeCells count="217">
    <mergeCell ref="A2:I2"/>
    <mergeCell ref="A3:I3"/>
    <mergeCell ref="A4:D5"/>
    <mergeCell ref="A6:O6"/>
    <mergeCell ref="J7:O7"/>
    <mergeCell ref="A8:O8"/>
    <mergeCell ref="A14:O14"/>
    <mergeCell ref="A15:D15"/>
    <mergeCell ref="E15:F15"/>
    <mergeCell ref="G15:H15"/>
    <mergeCell ref="I15:L15"/>
    <mergeCell ref="M15:O15"/>
    <mergeCell ref="A10:D10"/>
    <mergeCell ref="E10:F10"/>
    <mergeCell ref="G10:H10"/>
    <mergeCell ref="I10:L10"/>
    <mergeCell ref="M10:O10"/>
    <mergeCell ref="A11:D12"/>
    <mergeCell ref="J11:O11"/>
    <mergeCell ref="A16:E16"/>
    <mergeCell ref="F16:G16"/>
    <mergeCell ref="H16:J16"/>
    <mergeCell ref="K16:M16"/>
    <mergeCell ref="N16:O16"/>
    <mergeCell ref="A17:E17"/>
    <mergeCell ref="F17:G17"/>
    <mergeCell ref="H17:J17"/>
    <mergeCell ref="K17:M17"/>
    <mergeCell ref="N17:O17"/>
    <mergeCell ref="A18:E18"/>
    <mergeCell ref="F18:G18"/>
    <mergeCell ref="H18:J18"/>
    <mergeCell ref="K18:M18"/>
    <mergeCell ref="N18:O18"/>
    <mergeCell ref="A19:E19"/>
    <mergeCell ref="F19:G19"/>
    <mergeCell ref="H19:J19"/>
    <mergeCell ref="K19:M19"/>
    <mergeCell ref="N19:O19"/>
    <mergeCell ref="A20:E20"/>
    <mergeCell ref="F20:G20"/>
    <mergeCell ref="H20:J20"/>
    <mergeCell ref="K20:M20"/>
    <mergeCell ref="N20:O20"/>
    <mergeCell ref="A21:E21"/>
    <mergeCell ref="F21:G21"/>
    <mergeCell ref="H21:J21"/>
    <mergeCell ref="K21:M21"/>
    <mergeCell ref="N21:O21"/>
    <mergeCell ref="A22:E22"/>
    <mergeCell ref="F22:G22"/>
    <mergeCell ref="H22:J22"/>
    <mergeCell ref="K22:M22"/>
    <mergeCell ref="N22:O22"/>
    <mergeCell ref="A23:E23"/>
    <mergeCell ref="F23:G23"/>
    <mergeCell ref="H23:J23"/>
    <mergeCell ref="K23:M23"/>
    <mergeCell ref="N23:O23"/>
    <mergeCell ref="A24:E24"/>
    <mergeCell ref="F24:G24"/>
    <mergeCell ref="H24:J24"/>
    <mergeCell ref="K24:M24"/>
    <mergeCell ref="N24:O24"/>
    <mergeCell ref="A25:E25"/>
    <mergeCell ref="F25:G25"/>
    <mergeCell ref="H25:J25"/>
    <mergeCell ref="K25:M25"/>
    <mergeCell ref="N25:O25"/>
    <mergeCell ref="A26:E26"/>
    <mergeCell ref="F26:G26"/>
    <mergeCell ref="H26:J26"/>
    <mergeCell ref="K26:M26"/>
    <mergeCell ref="N26:O26"/>
    <mergeCell ref="A27:E27"/>
    <mergeCell ref="F27:G27"/>
    <mergeCell ref="H27:J27"/>
    <mergeCell ref="K27:M27"/>
    <mergeCell ref="N27:O27"/>
    <mergeCell ref="A28:E28"/>
    <mergeCell ref="F28:G28"/>
    <mergeCell ref="H28:J28"/>
    <mergeCell ref="K28:M28"/>
    <mergeCell ref="N28:O28"/>
    <mergeCell ref="A29:E29"/>
    <mergeCell ref="F29:G29"/>
    <mergeCell ref="H29:J29"/>
    <mergeCell ref="K29:M29"/>
    <mergeCell ref="N29:O29"/>
    <mergeCell ref="A30:E30"/>
    <mergeCell ref="F30:G30"/>
    <mergeCell ref="H30:J30"/>
    <mergeCell ref="K30:M30"/>
    <mergeCell ref="N30:O30"/>
    <mergeCell ref="A31:E31"/>
    <mergeCell ref="F31:G31"/>
    <mergeCell ref="H31:J31"/>
    <mergeCell ref="K31:M31"/>
    <mergeCell ref="N31:O31"/>
    <mergeCell ref="A32:E32"/>
    <mergeCell ref="F32:G32"/>
    <mergeCell ref="H32:J32"/>
    <mergeCell ref="K32:M32"/>
    <mergeCell ref="N32:O32"/>
    <mergeCell ref="A33:E33"/>
    <mergeCell ref="F33:G33"/>
    <mergeCell ref="H33:J33"/>
    <mergeCell ref="K33:M33"/>
    <mergeCell ref="N33:O33"/>
    <mergeCell ref="A34:E34"/>
    <mergeCell ref="F34:G34"/>
    <mergeCell ref="H34:J34"/>
    <mergeCell ref="K34:M34"/>
    <mergeCell ref="N34:O34"/>
    <mergeCell ref="A35:E35"/>
    <mergeCell ref="F35:G35"/>
    <mergeCell ref="H35:J35"/>
    <mergeCell ref="K35:M35"/>
    <mergeCell ref="N35:O35"/>
    <mergeCell ref="A36:E36"/>
    <mergeCell ref="F36:G36"/>
    <mergeCell ref="H36:J36"/>
    <mergeCell ref="K36:M36"/>
    <mergeCell ref="N36:O36"/>
    <mergeCell ref="A37:E37"/>
    <mergeCell ref="F37:G37"/>
    <mergeCell ref="H37:J37"/>
    <mergeCell ref="K37:M37"/>
    <mergeCell ref="N37:O37"/>
    <mergeCell ref="A38:E38"/>
    <mergeCell ref="F38:G38"/>
    <mergeCell ref="H38:J38"/>
    <mergeCell ref="K38:M38"/>
    <mergeCell ref="N38:O38"/>
    <mergeCell ref="A39:E39"/>
    <mergeCell ref="F39:G39"/>
    <mergeCell ref="H39:J39"/>
    <mergeCell ref="K39:M39"/>
    <mergeCell ref="N39:O39"/>
    <mergeCell ref="A40:E40"/>
    <mergeCell ref="F40:G40"/>
    <mergeCell ref="H40:J40"/>
    <mergeCell ref="K40:M40"/>
    <mergeCell ref="N40:O40"/>
    <mergeCell ref="A41:E41"/>
    <mergeCell ref="F41:G41"/>
    <mergeCell ref="H41:J41"/>
    <mergeCell ref="K41:M41"/>
    <mergeCell ref="N41:O41"/>
    <mergeCell ref="A42:E42"/>
    <mergeCell ref="F42:G42"/>
    <mergeCell ref="H42:J42"/>
    <mergeCell ref="K42:M42"/>
    <mergeCell ref="N42:O42"/>
    <mergeCell ref="A43:E43"/>
    <mergeCell ref="F43:G43"/>
    <mergeCell ref="H43:J43"/>
    <mergeCell ref="K43:M43"/>
    <mergeCell ref="N43:O43"/>
    <mergeCell ref="A44:E44"/>
    <mergeCell ref="F44:G44"/>
    <mergeCell ref="H44:J44"/>
    <mergeCell ref="K44:M44"/>
    <mergeCell ref="N44:O44"/>
    <mergeCell ref="A45:E45"/>
    <mergeCell ref="F45:G45"/>
    <mergeCell ref="H45:J45"/>
    <mergeCell ref="K45:M45"/>
    <mergeCell ref="N45:O45"/>
    <mergeCell ref="A46:E46"/>
    <mergeCell ref="F46:G46"/>
    <mergeCell ref="H46:J46"/>
    <mergeCell ref="K46:M46"/>
    <mergeCell ref="N46:O46"/>
    <mergeCell ref="A47:E47"/>
    <mergeCell ref="F47:G47"/>
    <mergeCell ref="H47:J47"/>
    <mergeCell ref="K47:M47"/>
    <mergeCell ref="N47:O47"/>
    <mergeCell ref="A48:E48"/>
    <mergeCell ref="F48:G48"/>
    <mergeCell ref="H48:J48"/>
    <mergeCell ref="K48:M48"/>
    <mergeCell ref="N48:O48"/>
    <mergeCell ref="A49:E49"/>
    <mergeCell ref="F49:G49"/>
    <mergeCell ref="H49:J49"/>
    <mergeCell ref="K49:M49"/>
    <mergeCell ref="N49:O49"/>
    <mergeCell ref="A50:E50"/>
    <mergeCell ref="F50:G50"/>
    <mergeCell ref="H50:J50"/>
    <mergeCell ref="K50:M50"/>
    <mergeCell ref="N50:O50"/>
    <mergeCell ref="A51:E51"/>
    <mergeCell ref="F51:G51"/>
    <mergeCell ref="H51:J51"/>
    <mergeCell ref="K51:M51"/>
    <mergeCell ref="N51:O51"/>
    <mergeCell ref="M57:O58"/>
    <mergeCell ref="D58:K59"/>
    <mergeCell ref="A54:D54"/>
    <mergeCell ref="E54:F54"/>
    <mergeCell ref="G54:H54"/>
    <mergeCell ref="I54:L54"/>
    <mergeCell ref="M54:O54"/>
    <mergeCell ref="C55:N55"/>
    <mergeCell ref="A52:E52"/>
    <mergeCell ref="F52:G52"/>
    <mergeCell ref="H52:J52"/>
    <mergeCell ref="K52:M52"/>
    <mergeCell ref="N52:O52"/>
    <mergeCell ref="A53:E53"/>
    <mergeCell ref="F53:G53"/>
    <mergeCell ref="H53:J53"/>
    <mergeCell ref="K53:M53"/>
    <mergeCell ref="N53:O53"/>
  </mergeCells>
  <pageMargins left="0.19666667282581329" right="0.18999999761581421" top="0.20000000298023224" bottom="0.20000000298023224" header="0.3" footer="0.3"/>
  <pageSetup paperSize="9" orientation="portrait" errors="blank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1560F-B4D4-4348-B764-BD3CE39F64FF}">
  <sheetPr>
    <tabColor rgb="FFFFFF00"/>
    <outlinePr summaryBelow="0"/>
  </sheetPr>
  <dimension ref="A1:R59"/>
  <sheetViews>
    <sheetView showGridLines="0" topLeftCell="A13" workbookViewId="0">
      <selection activeCell="Y21" sqref="Y21"/>
    </sheetView>
  </sheetViews>
  <sheetFormatPr defaultRowHeight="14.4"/>
  <cols>
    <col min="1" max="1" width="0.109375" customWidth="1"/>
    <col min="2" max="2" width="0.33203125" customWidth="1"/>
    <col min="3" max="3" width="14.5546875" customWidth="1"/>
    <col min="4" max="4" width="17.44140625" customWidth="1"/>
    <col min="5" max="5" width="13" customWidth="1"/>
    <col min="6" max="6" width="10" customWidth="1"/>
    <col min="7" max="7" width="3.44140625" customWidth="1"/>
    <col min="8" max="8" width="7.44140625" customWidth="1"/>
    <col min="9" max="9" width="0.6640625" customWidth="1"/>
    <col min="10" max="10" width="0.109375" customWidth="1"/>
    <col min="11" max="11" width="0.6640625" customWidth="1"/>
    <col min="12" max="12" width="2.33203125" customWidth="1"/>
    <col min="13" max="13" width="1" customWidth="1"/>
    <col min="14" max="14" width="10.5546875" customWidth="1"/>
    <col min="15" max="15" width="0.33203125" customWidth="1"/>
    <col min="16" max="16" width="9.33203125" customWidth="1"/>
    <col min="17" max="17" width="0.109375" customWidth="1"/>
    <col min="18" max="18" width="0.44140625" customWidth="1"/>
  </cols>
  <sheetData>
    <row r="1" spans="1:18" ht="33" customHeight="1"/>
    <row r="2" spans="1:18" ht="23.25" customHeight="1">
      <c r="A2" s="521" t="s">
        <v>465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</row>
    <row r="3" spans="1:18" ht="15.75" customHeight="1">
      <c r="A3" s="523" t="s">
        <v>466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</row>
    <row r="4" spans="1:18" ht="12" customHeight="1">
      <c r="A4" s="523" t="s">
        <v>467</v>
      </c>
      <c r="B4" s="523"/>
      <c r="C4" s="523"/>
      <c r="D4" s="523"/>
    </row>
    <row r="5" spans="1:18" ht="4.5" customHeight="1">
      <c r="A5" s="523"/>
      <c r="B5" s="523"/>
      <c r="C5" s="523"/>
      <c r="D5" s="523"/>
    </row>
    <row r="6" spans="1:18" ht="6" customHeight="1">
      <c r="A6" s="524"/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</row>
    <row r="7" spans="1:18" ht="14.25" customHeight="1"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</row>
    <row r="8" spans="1:18" ht="6" customHeight="1"/>
    <row r="9" spans="1:18" ht="22.5" customHeight="1">
      <c r="A9" s="525" t="s">
        <v>552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18" ht="19.5" customHeight="1">
      <c r="C10" s="518" t="s">
        <v>553</v>
      </c>
      <c r="D10" s="518"/>
      <c r="E10" s="281" t="s">
        <v>554</v>
      </c>
      <c r="F10" s="281" t="s">
        <v>556</v>
      </c>
      <c r="G10" s="520" t="s">
        <v>555</v>
      </c>
      <c r="H10" s="520"/>
      <c r="I10" s="520"/>
      <c r="J10" s="519" t="s">
        <v>557</v>
      </c>
      <c r="K10" s="519"/>
      <c r="L10" s="519"/>
      <c r="M10" s="519"/>
      <c r="N10" s="519"/>
      <c r="O10" s="520" t="s">
        <v>555</v>
      </c>
      <c r="P10" s="520"/>
      <c r="Q10" s="280"/>
    </row>
    <row r="11" spans="1:18" ht="21.75" customHeight="1">
      <c r="A11" s="521" t="s">
        <v>465</v>
      </c>
      <c r="B11" s="521"/>
      <c r="C11" s="521"/>
      <c r="D11" s="521"/>
      <c r="I11" s="522" t="s">
        <v>468</v>
      </c>
      <c r="J11" s="522"/>
      <c r="K11" s="522"/>
      <c r="L11" s="522"/>
      <c r="M11" s="522"/>
      <c r="N11" s="522"/>
      <c r="O11" s="522"/>
      <c r="P11" s="522"/>
      <c r="Q11" s="522"/>
    </row>
    <row r="12" spans="1:18" ht="1.5" customHeight="1">
      <c r="A12" s="521"/>
      <c r="B12" s="521"/>
      <c r="C12" s="521"/>
      <c r="D12" s="521"/>
    </row>
    <row r="13" spans="1:18" ht="3.75" customHeight="1"/>
    <row r="14" spans="1:18" ht="5.25" customHeight="1">
      <c r="A14" s="517"/>
      <c r="B14" s="517"/>
      <c r="C14" s="517"/>
      <c r="D14" s="517"/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517"/>
    </row>
    <row r="15" spans="1:18" ht="4.5" customHeight="1"/>
    <row r="16" spans="1:18" ht="18" customHeight="1">
      <c r="A16" s="280"/>
      <c r="B16" s="518" t="s">
        <v>553</v>
      </c>
      <c r="C16" s="518"/>
      <c r="D16" s="518"/>
      <c r="E16" s="281" t="s">
        <v>554</v>
      </c>
      <c r="F16" s="519" t="s">
        <v>556</v>
      </c>
      <c r="G16" s="519"/>
      <c r="H16" s="520" t="s">
        <v>555</v>
      </c>
      <c r="I16" s="520"/>
      <c r="J16" s="520"/>
      <c r="K16" s="519" t="s">
        <v>557</v>
      </c>
      <c r="L16" s="519"/>
      <c r="M16" s="519"/>
      <c r="N16" s="519"/>
      <c r="O16" s="519"/>
      <c r="P16" s="520" t="s">
        <v>555</v>
      </c>
      <c r="Q16" s="520"/>
    </row>
    <row r="17" spans="2:18" ht="24.75" customHeight="1">
      <c r="B17" s="510" t="s">
        <v>559</v>
      </c>
      <c r="C17" s="510"/>
      <c r="D17" s="510"/>
      <c r="E17" s="282">
        <v>7800</v>
      </c>
      <c r="F17" s="282">
        <v>4654.09</v>
      </c>
      <c r="G17" s="511">
        <v>59.67</v>
      </c>
      <c r="H17" s="511"/>
      <c r="I17" s="511"/>
      <c r="J17" s="511"/>
      <c r="K17" s="511">
        <v>3145.91</v>
      </c>
      <c r="L17" s="511"/>
      <c r="M17" s="511"/>
      <c r="N17" s="511"/>
      <c r="O17" s="511"/>
      <c r="P17" s="511">
        <v>40.33</v>
      </c>
      <c r="Q17" s="511"/>
      <c r="R17" s="511"/>
    </row>
    <row r="18" spans="2:18" ht="0.75" customHeight="1"/>
    <row r="19" spans="2:18" ht="25.5" customHeight="1">
      <c r="B19" s="515" t="s">
        <v>560</v>
      </c>
      <c r="C19" s="515"/>
      <c r="D19" s="515"/>
      <c r="E19" s="283">
        <v>14440</v>
      </c>
      <c r="F19" s="283">
        <v>12751.26</v>
      </c>
      <c r="G19" s="516">
        <v>88.31</v>
      </c>
      <c r="H19" s="516"/>
      <c r="I19" s="516"/>
      <c r="J19" s="516"/>
      <c r="K19" s="516">
        <v>1688.74</v>
      </c>
      <c r="L19" s="516"/>
      <c r="M19" s="516"/>
      <c r="N19" s="516"/>
      <c r="O19" s="516"/>
      <c r="P19" s="516">
        <v>11.69</v>
      </c>
      <c r="Q19" s="516"/>
      <c r="R19" s="516"/>
    </row>
    <row r="20" spans="2:18" ht="0.75" customHeight="1"/>
    <row r="21" spans="2:18" ht="24.75" customHeight="1">
      <c r="B21" s="510" t="s">
        <v>561</v>
      </c>
      <c r="C21" s="510"/>
      <c r="D21" s="510"/>
      <c r="E21" s="282">
        <v>41160.720000000001</v>
      </c>
      <c r="F21" s="282">
        <v>41084.410000000003</v>
      </c>
      <c r="G21" s="511">
        <v>99.81</v>
      </c>
      <c r="H21" s="511"/>
      <c r="I21" s="511"/>
      <c r="J21" s="511"/>
      <c r="K21" s="511">
        <v>76.31</v>
      </c>
      <c r="L21" s="511"/>
      <c r="M21" s="511"/>
      <c r="N21" s="511"/>
      <c r="O21" s="511"/>
      <c r="P21" s="511">
        <v>0.19</v>
      </c>
      <c r="Q21" s="511"/>
      <c r="R21" s="511"/>
    </row>
    <row r="22" spans="2:18" ht="0.75" customHeight="1"/>
    <row r="23" spans="2:18" ht="25.5" customHeight="1">
      <c r="B23" s="515" t="s">
        <v>562</v>
      </c>
      <c r="C23" s="515"/>
      <c r="D23" s="515"/>
      <c r="E23" s="283">
        <v>106504.06</v>
      </c>
      <c r="F23" s="283">
        <v>56569.35</v>
      </c>
      <c r="G23" s="516">
        <v>53.11</v>
      </c>
      <c r="H23" s="516"/>
      <c r="I23" s="516"/>
      <c r="J23" s="516"/>
      <c r="K23" s="516">
        <v>49934.71</v>
      </c>
      <c r="L23" s="516"/>
      <c r="M23" s="516"/>
      <c r="N23" s="516"/>
      <c r="O23" s="516"/>
      <c r="P23" s="516">
        <v>46.89</v>
      </c>
      <c r="Q23" s="516"/>
      <c r="R23" s="516"/>
    </row>
    <row r="24" spans="2:18" ht="0.75" customHeight="1"/>
    <row r="25" spans="2:18" ht="24.75" customHeight="1">
      <c r="B25" s="510" t="s">
        <v>563</v>
      </c>
      <c r="C25" s="510"/>
      <c r="D25" s="510"/>
      <c r="E25" s="282">
        <v>2000</v>
      </c>
      <c r="F25" s="282">
        <v>2000</v>
      </c>
      <c r="G25" s="511">
        <v>100</v>
      </c>
      <c r="H25" s="511"/>
      <c r="I25" s="511"/>
      <c r="J25" s="511"/>
      <c r="K25" s="511">
        <v>0</v>
      </c>
      <c r="L25" s="511"/>
      <c r="M25" s="511"/>
      <c r="N25" s="511"/>
      <c r="O25" s="511"/>
      <c r="P25" s="511">
        <v>0</v>
      </c>
      <c r="Q25" s="511"/>
      <c r="R25" s="511"/>
    </row>
    <row r="26" spans="2:18" ht="1.5" customHeight="1"/>
    <row r="27" spans="2:18" ht="24.75" customHeight="1">
      <c r="B27" s="515" t="s">
        <v>564</v>
      </c>
      <c r="C27" s="515"/>
      <c r="D27" s="515"/>
      <c r="E27" s="283">
        <v>10000</v>
      </c>
      <c r="F27" s="283">
        <v>9433.5499999999993</v>
      </c>
      <c r="G27" s="516">
        <v>94.34</v>
      </c>
      <c r="H27" s="516"/>
      <c r="I27" s="516"/>
      <c r="J27" s="516"/>
      <c r="K27" s="516">
        <v>566.45000000000005</v>
      </c>
      <c r="L27" s="516"/>
      <c r="M27" s="516"/>
      <c r="N27" s="516"/>
      <c r="O27" s="516"/>
      <c r="P27" s="516">
        <v>5.66</v>
      </c>
      <c r="Q27" s="516"/>
      <c r="R27" s="516"/>
    </row>
    <row r="28" spans="2:18" ht="0.75" customHeight="1"/>
    <row r="29" spans="2:18" ht="25.5" customHeight="1">
      <c r="B29" s="510" t="s">
        <v>565</v>
      </c>
      <c r="C29" s="510"/>
      <c r="D29" s="510"/>
      <c r="E29" s="282">
        <v>24000</v>
      </c>
      <c r="F29" s="282">
        <v>24000</v>
      </c>
      <c r="G29" s="511">
        <v>100</v>
      </c>
      <c r="H29" s="511"/>
      <c r="I29" s="511"/>
      <c r="J29" s="511"/>
      <c r="K29" s="511">
        <v>0</v>
      </c>
      <c r="L29" s="511"/>
      <c r="M29" s="511"/>
      <c r="N29" s="511"/>
      <c r="O29" s="511"/>
      <c r="P29" s="511">
        <v>0</v>
      </c>
      <c r="Q29" s="511"/>
      <c r="R29" s="511"/>
    </row>
    <row r="30" spans="2:18" ht="0.75" customHeight="1"/>
    <row r="31" spans="2:18" ht="18" customHeight="1">
      <c r="B31" s="515" t="s">
        <v>566</v>
      </c>
      <c r="C31" s="515"/>
      <c r="D31" s="515"/>
      <c r="E31" s="283">
        <v>26796.11</v>
      </c>
      <c r="F31" s="283">
        <v>26796.11</v>
      </c>
      <c r="G31" s="516">
        <v>100</v>
      </c>
      <c r="H31" s="516"/>
      <c r="I31" s="516"/>
      <c r="J31" s="516"/>
      <c r="K31" s="516">
        <v>0</v>
      </c>
      <c r="L31" s="516"/>
      <c r="M31" s="516"/>
      <c r="N31" s="516"/>
      <c r="O31" s="516"/>
      <c r="P31" s="516">
        <v>0</v>
      </c>
      <c r="Q31" s="516"/>
      <c r="R31" s="516"/>
    </row>
    <row r="32" spans="2:18" ht="0.75" customHeight="1"/>
    <row r="33" spans="2:18" ht="25.5" customHeight="1">
      <c r="B33" s="510" t="s">
        <v>567</v>
      </c>
      <c r="C33" s="510"/>
      <c r="D33" s="510"/>
      <c r="E33" s="282">
        <v>124500</v>
      </c>
      <c r="F33" s="282">
        <v>453.89</v>
      </c>
      <c r="G33" s="511">
        <v>0.36</v>
      </c>
      <c r="H33" s="511"/>
      <c r="I33" s="511"/>
      <c r="J33" s="511"/>
      <c r="K33" s="511">
        <v>124046.11</v>
      </c>
      <c r="L33" s="511"/>
      <c r="M33" s="511"/>
      <c r="N33" s="511"/>
      <c r="O33" s="511"/>
      <c r="P33" s="511">
        <v>99.64</v>
      </c>
      <c r="Q33" s="511"/>
      <c r="R33" s="511"/>
    </row>
    <row r="34" spans="2:18" ht="0.75" customHeight="1"/>
    <row r="35" spans="2:18" ht="36.75" customHeight="1">
      <c r="B35" s="515" t="s">
        <v>568</v>
      </c>
      <c r="C35" s="515"/>
      <c r="D35" s="515"/>
      <c r="E35" s="283">
        <v>0</v>
      </c>
      <c r="F35" s="283">
        <v>0</v>
      </c>
      <c r="G35" s="516">
        <v>0</v>
      </c>
      <c r="H35" s="516"/>
      <c r="I35" s="516"/>
      <c r="J35" s="516"/>
      <c r="K35" s="516">
        <v>0</v>
      </c>
      <c r="L35" s="516"/>
      <c r="M35" s="516"/>
      <c r="N35" s="516"/>
      <c r="O35" s="516"/>
      <c r="P35" s="516">
        <v>0</v>
      </c>
      <c r="Q35" s="516"/>
      <c r="R35" s="516"/>
    </row>
    <row r="36" spans="2:18" ht="0.75" customHeight="1"/>
    <row r="37" spans="2:18" ht="18" customHeight="1">
      <c r="B37" s="510" t="s">
        <v>569</v>
      </c>
      <c r="C37" s="510"/>
      <c r="D37" s="510"/>
      <c r="E37" s="282">
        <v>735000</v>
      </c>
      <c r="F37" s="282">
        <v>607595.31000000006</v>
      </c>
      <c r="G37" s="511">
        <v>82.67</v>
      </c>
      <c r="H37" s="511"/>
      <c r="I37" s="511"/>
      <c r="J37" s="511"/>
      <c r="K37" s="511">
        <v>127404.69</v>
      </c>
      <c r="L37" s="511"/>
      <c r="M37" s="511"/>
      <c r="N37" s="511"/>
      <c r="O37" s="511"/>
      <c r="P37" s="511">
        <v>17.329999999999998</v>
      </c>
      <c r="Q37" s="511"/>
      <c r="R37" s="511"/>
    </row>
    <row r="38" spans="2:18" ht="0.75" customHeight="1"/>
    <row r="39" spans="2:18" ht="25.5" customHeight="1">
      <c r="B39" s="515" t="s">
        <v>570</v>
      </c>
      <c r="C39" s="515"/>
      <c r="D39" s="515"/>
      <c r="E39" s="283">
        <v>379382.6</v>
      </c>
      <c r="F39" s="283">
        <v>332435.49</v>
      </c>
      <c r="G39" s="516">
        <v>87.63</v>
      </c>
      <c r="H39" s="516"/>
      <c r="I39" s="516"/>
      <c r="J39" s="516"/>
      <c r="K39" s="516">
        <v>46947.11</v>
      </c>
      <c r="L39" s="516"/>
      <c r="M39" s="516"/>
      <c r="N39" s="516"/>
      <c r="O39" s="516"/>
      <c r="P39" s="516">
        <v>12.37</v>
      </c>
      <c r="Q39" s="516"/>
      <c r="R39" s="516"/>
    </row>
    <row r="40" spans="2:18" ht="0.75" customHeight="1"/>
    <row r="41" spans="2:18" ht="24.75" customHeight="1">
      <c r="B41" s="510" t="s">
        <v>571</v>
      </c>
      <c r="C41" s="510"/>
      <c r="D41" s="510"/>
      <c r="E41" s="282">
        <v>17311.75</v>
      </c>
      <c r="F41" s="282">
        <v>17311.75</v>
      </c>
      <c r="G41" s="511">
        <v>100</v>
      </c>
      <c r="H41" s="511"/>
      <c r="I41" s="511"/>
      <c r="J41" s="511"/>
      <c r="K41" s="511">
        <v>0</v>
      </c>
      <c r="L41" s="511"/>
      <c r="M41" s="511"/>
      <c r="N41" s="511"/>
      <c r="O41" s="511"/>
      <c r="P41" s="511">
        <v>0</v>
      </c>
      <c r="Q41" s="511"/>
      <c r="R41" s="511"/>
    </row>
    <row r="42" spans="2:18" ht="1.5" customHeight="1"/>
    <row r="43" spans="2:18" ht="24.75" customHeight="1">
      <c r="B43" s="515" t="s">
        <v>572</v>
      </c>
      <c r="C43" s="515"/>
      <c r="D43" s="515"/>
      <c r="E43" s="283">
        <v>4085.64</v>
      </c>
      <c r="F43" s="283">
        <v>4085.64</v>
      </c>
      <c r="G43" s="516">
        <v>100</v>
      </c>
      <c r="H43" s="516"/>
      <c r="I43" s="516"/>
      <c r="J43" s="516"/>
      <c r="K43" s="516">
        <v>0</v>
      </c>
      <c r="L43" s="516"/>
      <c r="M43" s="516"/>
      <c r="N43" s="516"/>
      <c r="O43" s="516"/>
      <c r="P43" s="516">
        <v>0</v>
      </c>
      <c r="Q43" s="516"/>
      <c r="R43" s="516"/>
    </row>
    <row r="44" spans="2:18" ht="0.75" customHeight="1"/>
    <row r="45" spans="2:18" ht="25.5" customHeight="1">
      <c r="B45" s="510" t="s">
        <v>573</v>
      </c>
      <c r="C45" s="510"/>
      <c r="D45" s="510"/>
      <c r="E45" s="282">
        <v>30000</v>
      </c>
      <c r="F45" s="282">
        <v>4615</v>
      </c>
      <c r="G45" s="511">
        <v>15.38</v>
      </c>
      <c r="H45" s="511"/>
      <c r="I45" s="511"/>
      <c r="J45" s="511"/>
      <c r="K45" s="511">
        <v>25385</v>
      </c>
      <c r="L45" s="511"/>
      <c r="M45" s="511"/>
      <c r="N45" s="511"/>
      <c r="O45" s="511"/>
      <c r="P45" s="511">
        <v>84.62</v>
      </c>
      <c r="Q45" s="511"/>
      <c r="R45" s="511"/>
    </row>
    <row r="46" spans="2:18" ht="0.75" customHeight="1"/>
    <row r="47" spans="2:18" ht="24.75" customHeight="1">
      <c r="B47" s="515" t="s">
        <v>574</v>
      </c>
      <c r="C47" s="515"/>
      <c r="D47" s="515"/>
      <c r="E47" s="283">
        <v>500016.14</v>
      </c>
      <c r="F47" s="283">
        <v>489034.41</v>
      </c>
      <c r="G47" s="516">
        <v>97.8</v>
      </c>
      <c r="H47" s="516"/>
      <c r="I47" s="516"/>
      <c r="J47" s="516"/>
      <c r="K47" s="516">
        <v>10981.73</v>
      </c>
      <c r="L47" s="516"/>
      <c r="M47" s="516"/>
      <c r="N47" s="516"/>
      <c r="O47" s="516"/>
      <c r="P47" s="516">
        <v>2.2000000000000002</v>
      </c>
      <c r="Q47" s="516"/>
      <c r="R47" s="516"/>
    </row>
    <row r="48" spans="2:18" ht="1.5" customHeight="1"/>
    <row r="49" spans="1:18" ht="24.75" customHeight="1">
      <c r="B49" s="510" t="s">
        <v>575</v>
      </c>
      <c r="C49" s="510"/>
      <c r="D49" s="510"/>
      <c r="E49" s="282">
        <v>224701.55</v>
      </c>
      <c r="F49" s="282">
        <v>222540.32</v>
      </c>
      <c r="G49" s="511">
        <v>99.04</v>
      </c>
      <c r="H49" s="511"/>
      <c r="I49" s="511"/>
      <c r="J49" s="511"/>
      <c r="K49" s="511">
        <v>2161.23</v>
      </c>
      <c r="L49" s="511"/>
      <c r="M49" s="511"/>
      <c r="N49" s="511"/>
      <c r="O49" s="511"/>
      <c r="P49" s="511">
        <v>0.96</v>
      </c>
      <c r="Q49" s="511"/>
      <c r="R49" s="511"/>
    </row>
    <row r="50" spans="1:18" ht="0.75" customHeight="1"/>
    <row r="51" spans="1:18" ht="25.5" customHeight="1">
      <c r="B51" s="515" t="s">
        <v>576</v>
      </c>
      <c r="C51" s="515"/>
      <c r="D51" s="515"/>
      <c r="E51" s="283">
        <v>88109.46</v>
      </c>
      <c r="F51" s="283">
        <v>88109.46</v>
      </c>
      <c r="G51" s="516">
        <v>100</v>
      </c>
      <c r="H51" s="516"/>
      <c r="I51" s="516"/>
      <c r="J51" s="516"/>
      <c r="K51" s="516">
        <v>0</v>
      </c>
      <c r="L51" s="516"/>
      <c r="M51" s="516"/>
      <c r="N51" s="516"/>
      <c r="O51" s="516"/>
      <c r="P51" s="516">
        <v>0</v>
      </c>
      <c r="Q51" s="516"/>
      <c r="R51" s="516"/>
    </row>
    <row r="52" spans="1:18" ht="0.75" customHeight="1"/>
    <row r="53" spans="1:18" ht="24.75" customHeight="1">
      <c r="B53" s="510" t="s">
        <v>577</v>
      </c>
      <c r="C53" s="510"/>
      <c r="D53" s="510"/>
      <c r="E53" s="282">
        <v>11461.8</v>
      </c>
      <c r="F53" s="282">
        <v>11461.8</v>
      </c>
      <c r="G53" s="511">
        <v>100</v>
      </c>
      <c r="H53" s="511"/>
      <c r="I53" s="511"/>
      <c r="J53" s="511"/>
      <c r="K53" s="511">
        <v>0</v>
      </c>
      <c r="L53" s="511"/>
      <c r="M53" s="511"/>
      <c r="N53" s="511"/>
      <c r="O53" s="511"/>
      <c r="P53" s="511">
        <v>0</v>
      </c>
      <c r="Q53" s="511"/>
      <c r="R53" s="511"/>
    </row>
    <row r="54" spans="1:18" ht="0.75" customHeight="1"/>
    <row r="55" spans="1:18" ht="18" customHeight="1">
      <c r="A55" s="512" t="s">
        <v>558</v>
      </c>
      <c r="B55" s="512"/>
      <c r="C55" s="512"/>
      <c r="D55" s="512"/>
      <c r="E55" s="284">
        <v>2347269.83</v>
      </c>
      <c r="F55" s="285">
        <v>1954931.84</v>
      </c>
      <c r="G55" s="513"/>
      <c r="H55" s="513"/>
      <c r="I55" s="513"/>
      <c r="J55" s="513"/>
      <c r="K55" s="514">
        <v>392337.99</v>
      </c>
      <c r="L55" s="514"/>
      <c r="M55" s="514"/>
      <c r="N55" s="514"/>
      <c r="O55" s="513"/>
      <c r="P55" s="513"/>
      <c r="Q55" s="513"/>
      <c r="R55" s="513"/>
    </row>
    <row r="56" spans="1:18" ht="3.75" customHeight="1"/>
    <row r="57" spans="1:18" ht="11.25" customHeight="1">
      <c r="D57" s="508"/>
      <c r="E57" s="508"/>
      <c r="F57" s="508"/>
      <c r="G57" s="508"/>
      <c r="H57" s="508"/>
      <c r="I57" s="508"/>
      <c r="J57" s="508"/>
      <c r="K57" s="508"/>
      <c r="L57" s="508"/>
    </row>
    <row r="58" spans="1:18" ht="51.75" customHeight="1"/>
    <row r="59" spans="1:18" ht="12.75" customHeight="1">
      <c r="L59" s="509" t="s">
        <v>527</v>
      </c>
      <c r="M59" s="509"/>
      <c r="N59" s="509"/>
      <c r="O59" s="509"/>
      <c r="P59" s="509"/>
      <c r="Q59" s="509"/>
      <c r="R59" s="509"/>
    </row>
  </sheetData>
  <mergeCells count="100">
    <mergeCell ref="A9:Q9"/>
    <mergeCell ref="A2:M2"/>
    <mergeCell ref="A3:M3"/>
    <mergeCell ref="A4:D5"/>
    <mergeCell ref="A6:Q6"/>
    <mergeCell ref="G7:R7"/>
    <mergeCell ref="C10:D10"/>
    <mergeCell ref="G10:I10"/>
    <mergeCell ref="J10:N10"/>
    <mergeCell ref="O10:P10"/>
    <mergeCell ref="A11:D12"/>
    <mergeCell ref="I11:Q11"/>
    <mergeCell ref="A14:P14"/>
    <mergeCell ref="B16:D16"/>
    <mergeCell ref="F16:G16"/>
    <mergeCell ref="H16:J16"/>
    <mergeCell ref="K16:O16"/>
    <mergeCell ref="P16:Q16"/>
    <mergeCell ref="B17:D17"/>
    <mergeCell ref="G17:J17"/>
    <mergeCell ref="K17:O17"/>
    <mergeCell ref="P17:R17"/>
    <mergeCell ref="B19:D19"/>
    <mergeCell ref="G19:J19"/>
    <mergeCell ref="K19:O19"/>
    <mergeCell ref="P19:R19"/>
    <mergeCell ref="B21:D21"/>
    <mergeCell ref="G21:J21"/>
    <mergeCell ref="K21:O21"/>
    <mergeCell ref="P21:R21"/>
    <mergeCell ref="B23:D23"/>
    <mergeCell ref="G23:J23"/>
    <mergeCell ref="K23:O23"/>
    <mergeCell ref="P23:R23"/>
    <mergeCell ref="B25:D25"/>
    <mergeCell ref="G25:J25"/>
    <mergeCell ref="K25:O25"/>
    <mergeCell ref="P25:R25"/>
    <mergeCell ref="B27:D27"/>
    <mergeCell ref="G27:J27"/>
    <mergeCell ref="K27:O27"/>
    <mergeCell ref="P27:R27"/>
    <mergeCell ref="B29:D29"/>
    <mergeCell ref="G29:J29"/>
    <mergeCell ref="K29:O29"/>
    <mergeCell ref="P29:R29"/>
    <mergeCell ref="B31:D31"/>
    <mergeCell ref="G31:J31"/>
    <mergeCell ref="K31:O31"/>
    <mergeCell ref="P31:R31"/>
    <mergeCell ref="B33:D33"/>
    <mergeCell ref="G33:J33"/>
    <mergeCell ref="K33:O33"/>
    <mergeCell ref="P33:R33"/>
    <mergeCell ref="B35:D35"/>
    <mergeCell ref="G35:J35"/>
    <mergeCell ref="K35:O35"/>
    <mergeCell ref="P35:R35"/>
    <mergeCell ref="B37:D37"/>
    <mergeCell ref="G37:J37"/>
    <mergeCell ref="K37:O37"/>
    <mergeCell ref="P37:R37"/>
    <mergeCell ref="B39:D39"/>
    <mergeCell ref="G39:J39"/>
    <mergeCell ref="K39:O39"/>
    <mergeCell ref="P39:R39"/>
    <mergeCell ref="B41:D41"/>
    <mergeCell ref="G41:J41"/>
    <mergeCell ref="K41:O41"/>
    <mergeCell ref="P41:R41"/>
    <mergeCell ref="B43:D43"/>
    <mergeCell ref="G43:J43"/>
    <mergeCell ref="K43:O43"/>
    <mergeCell ref="P43:R43"/>
    <mergeCell ref="B45:D45"/>
    <mergeCell ref="G45:J45"/>
    <mergeCell ref="K45:O45"/>
    <mergeCell ref="P45:R45"/>
    <mergeCell ref="B47:D47"/>
    <mergeCell ref="G47:J47"/>
    <mergeCell ref="K47:O47"/>
    <mergeCell ref="P47:R47"/>
    <mergeCell ref="B49:D49"/>
    <mergeCell ref="G49:J49"/>
    <mergeCell ref="K49:O49"/>
    <mergeCell ref="P49:R49"/>
    <mergeCell ref="B51:D51"/>
    <mergeCell ref="G51:J51"/>
    <mergeCell ref="K51:O51"/>
    <mergeCell ref="P51:R51"/>
    <mergeCell ref="D57:L57"/>
    <mergeCell ref="L59:R59"/>
    <mergeCell ref="B53:D53"/>
    <mergeCell ref="G53:J53"/>
    <mergeCell ref="K53:O53"/>
    <mergeCell ref="P53:R53"/>
    <mergeCell ref="A55:D55"/>
    <mergeCell ref="G55:J55"/>
    <mergeCell ref="K55:N55"/>
    <mergeCell ref="O55:R55"/>
  </mergeCells>
  <pageMargins left="0.18999999761581399" right="0.19666667282581299" top="0.20000000298023199" bottom="0.20000000298023199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A5664"/>
  </sheetPr>
  <dimension ref="A1:S133"/>
  <sheetViews>
    <sheetView showGridLines="0" zoomScale="80" zoomScaleNormal="80" zoomScaleSheetLayoutView="50" workbookViewId="0">
      <selection activeCell="A36" sqref="A36:A37"/>
    </sheetView>
  </sheetViews>
  <sheetFormatPr defaultColWidth="9.109375" defaultRowHeight="23.4" zeroHeight="1"/>
  <cols>
    <col min="1" max="1" width="74.6640625" style="109" customWidth="1"/>
    <col min="2" max="2" width="81" style="110" customWidth="1"/>
    <col min="3" max="3" width="11.5546875" style="111" customWidth="1"/>
    <col min="4" max="4" width="18.44140625" style="111" customWidth="1"/>
    <col min="5" max="5" width="16.5546875" style="110" bestFit="1" customWidth="1"/>
    <col min="6" max="6" width="17" style="110" customWidth="1"/>
    <col min="7" max="7" width="17" style="112" customWidth="1"/>
    <col min="8" max="9" width="17" style="89" customWidth="1"/>
    <col min="10" max="16384" width="9.109375" style="87"/>
  </cols>
  <sheetData>
    <row r="1" spans="1:19" s="88" customFormat="1" ht="45" customHeight="1">
      <c r="A1" s="333" t="s">
        <v>330</v>
      </c>
      <c r="B1" s="333"/>
      <c r="C1" s="333"/>
      <c r="D1" s="333"/>
      <c r="E1" s="333"/>
      <c r="F1" s="333"/>
      <c r="G1" s="333"/>
      <c r="H1" s="89"/>
      <c r="I1" s="89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s="88" customFormat="1" ht="45" customHeight="1">
      <c r="A2" s="333" t="s">
        <v>338</v>
      </c>
      <c r="B2" s="333"/>
      <c r="C2" s="333"/>
      <c r="D2" s="333"/>
      <c r="E2" s="333"/>
      <c r="F2" s="333"/>
      <c r="G2" s="333"/>
    </row>
    <row r="3" spans="1:19" s="88" customFormat="1" ht="21" customHeight="1" thickBot="1">
      <c r="A3" s="90"/>
      <c r="B3" s="90"/>
      <c r="C3" s="90"/>
      <c r="D3" s="90"/>
      <c r="E3" s="90"/>
      <c r="F3" s="90"/>
      <c r="G3" s="91"/>
      <c r="H3" s="89"/>
      <c r="I3" s="89"/>
    </row>
    <row r="4" spans="1:19" s="88" customFormat="1" ht="45" customHeight="1" thickBot="1">
      <c r="A4" s="309" t="s">
        <v>41</v>
      </c>
      <c r="B4" s="310"/>
      <c r="C4" s="310"/>
      <c r="D4" s="310"/>
      <c r="E4" s="310"/>
      <c r="F4" s="311"/>
      <c r="G4" s="312"/>
      <c r="H4" s="113"/>
      <c r="I4" s="197" t="s">
        <v>336</v>
      </c>
      <c r="J4" s="184"/>
      <c r="K4" s="184"/>
      <c r="L4" s="184"/>
      <c r="M4" s="184"/>
      <c r="N4" s="184"/>
      <c r="O4" s="184"/>
      <c r="P4" s="184"/>
      <c r="Q4" s="184"/>
      <c r="R4" s="185"/>
    </row>
    <row r="5" spans="1:19" s="88" customFormat="1" ht="54.75" customHeight="1">
      <c r="A5" s="92" t="s">
        <v>14</v>
      </c>
      <c r="B5" s="313" t="s">
        <v>39</v>
      </c>
      <c r="C5" s="314"/>
      <c r="D5" s="179" t="s">
        <v>334</v>
      </c>
      <c r="E5" s="179" t="s">
        <v>333</v>
      </c>
      <c r="F5" s="93" t="s">
        <v>332</v>
      </c>
      <c r="G5" s="93" t="s">
        <v>331</v>
      </c>
      <c r="H5" s="113"/>
      <c r="I5" s="334" t="s">
        <v>335</v>
      </c>
      <c r="J5" s="335"/>
      <c r="K5" s="335"/>
      <c r="L5" s="335"/>
      <c r="M5" s="335"/>
      <c r="N5" s="335"/>
      <c r="O5" s="335"/>
      <c r="P5" s="335"/>
      <c r="Q5" s="335"/>
      <c r="R5" s="336"/>
      <c r="S5" s="180"/>
    </row>
    <row r="6" spans="1:19" s="88" customFormat="1" ht="30.75" customHeight="1">
      <c r="A6" s="315" t="s">
        <v>185</v>
      </c>
      <c r="B6" s="94" t="s">
        <v>125</v>
      </c>
      <c r="C6" s="317" t="s">
        <v>55</v>
      </c>
      <c r="D6" s="173"/>
      <c r="E6" s="304"/>
      <c r="F6" s="307"/>
      <c r="G6" s="305"/>
      <c r="H6" s="340"/>
      <c r="I6" s="334"/>
      <c r="J6" s="335"/>
      <c r="K6" s="335"/>
      <c r="L6" s="335"/>
      <c r="M6" s="335"/>
      <c r="N6" s="335"/>
      <c r="O6" s="335"/>
      <c r="P6" s="335"/>
      <c r="Q6" s="335"/>
      <c r="R6" s="336"/>
      <c r="S6" s="181"/>
    </row>
    <row r="7" spans="1:19" s="88" customFormat="1" ht="30.75" customHeight="1" thickBot="1">
      <c r="A7" s="316"/>
      <c r="B7" s="95" t="s">
        <v>126</v>
      </c>
      <c r="C7" s="318"/>
      <c r="D7" s="174"/>
      <c r="E7" s="304"/>
      <c r="F7" s="307"/>
      <c r="G7" s="305"/>
      <c r="H7" s="340"/>
      <c r="I7" s="337"/>
      <c r="J7" s="338"/>
      <c r="K7" s="338"/>
      <c r="L7" s="338"/>
      <c r="M7" s="338"/>
      <c r="N7" s="338"/>
      <c r="O7" s="338"/>
      <c r="P7" s="338"/>
      <c r="Q7" s="338"/>
      <c r="R7" s="339"/>
      <c r="S7" s="181"/>
    </row>
    <row r="8" spans="1:19" s="88" customFormat="1" ht="24" customHeight="1">
      <c r="A8" s="96"/>
      <c r="B8" s="90"/>
      <c r="C8" s="90"/>
      <c r="D8" s="90"/>
      <c r="E8" s="90"/>
      <c r="F8" s="90"/>
      <c r="G8" s="91"/>
      <c r="H8" s="113"/>
      <c r="I8" s="113"/>
      <c r="J8" s="87"/>
      <c r="K8" s="87"/>
      <c r="L8" s="87"/>
      <c r="M8" s="87"/>
      <c r="N8" s="87"/>
      <c r="O8" s="87"/>
      <c r="P8" s="87"/>
      <c r="Q8" s="87"/>
      <c r="R8" s="87"/>
      <c r="S8" s="87"/>
    </row>
    <row r="9" spans="1:19" s="88" customFormat="1" ht="45" customHeight="1">
      <c r="A9" s="319" t="s">
        <v>40</v>
      </c>
      <c r="B9" s="319"/>
      <c r="C9" s="319"/>
      <c r="D9" s="319"/>
      <c r="E9" s="319"/>
      <c r="F9" s="319"/>
      <c r="G9" s="319"/>
      <c r="H9" s="113"/>
      <c r="I9" s="113"/>
      <c r="J9" s="87"/>
      <c r="K9" s="87"/>
      <c r="L9" s="87"/>
      <c r="M9" s="87"/>
      <c r="N9" s="87"/>
      <c r="O9" s="87"/>
      <c r="P9" s="87"/>
      <c r="Q9" s="87"/>
      <c r="R9" s="87"/>
      <c r="S9" s="87"/>
    </row>
    <row r="10" spans="1:19" s="88" customFormat="1" ht="45" customHeight="1">
      <c r="A10" s="97" t="s">
        <v>15</v>
      </c>
      <c r="B10" s="320" t="s">
        <v>39</v>
      </c>
      <c r="C10" s="320"/>
      <c r="D10" s="179" t="s">
        <v>334</v>
      </c>
      <c r="E10" s="179" t="s">
        <v>333</v>
      </c>
      <c r="F10" s="93" t="s">
        <v>332</v>
      </c>
      <c r="G10" s="93" t="s">
        <v>331</v>
      </c>
      <c r="H10" s="113"/>
      <c r="I10" s="113"/>
      <c r="J10" s="87"/>
      <c r="K10" s="87"/>
      <c r="L10" s="87"/>
      <c r="M10" s="87"/>
      <c r="N10" s="87"/>
      <c r="O10" s="87"/>
      <c r="P10" s="87"/>
      <c r="Q10" s="87"/>
      <c r="R10" s="87"/>
      <c r="S10" s="87"/>
    </row>
    <row r="11" spans="1:19" s="88" customFormat="1" ht="34.5" customHeight="1">
      <c r="A11" s="302" t="s">
        <v>186</v>
      </c>
      <c r="B11" s="98" t="s">
        <v>127</v>
      </c>
      <c r="C11" s="308" t="s">
        <v>55</v>
      </c>
      <c r="D11" s="304"/>
      <c r="E11" s="304"/>
      <c r="F11" s="307"/>
      <c r="G11" s="305"/>
      <c r="H11" s="298"/>
      <c r="I11" s="298"/>
      <c r="J11" s="87"/>
      <c r="K11" s="87"/>
      <c r="L11" s="87"/>
      <c r="M11" s="87"/>
      <c r="N11" s="87"/>
      <c r="O11" s="87"/>
      <c r="P11" s="87"/>
      <c r="Q11" s="87"/>
      <c r="R11" s="87"/>
      <c r="S11" s="87"/>
    </row>
    <row r="12" spans="1:19" s="88" customFormat="1" ht="34.5" customHeight="1">
      <c r="A12" s="302"/>
      <c r="B12" s="99" t="s">
        <v>128</v>
      </c>
      <c r="C12" s="308"/>
      <c r="D12" s="304"/>
      <c r="E12" s="304"/>
      <c r="F12" s="307"/>
      <c r="G12" s="305"/>
      <c r="H12" s="298"/>
      <c r="I12" s="298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s="88" customFormat="1" ht="34.5" customHeight="1">
      <c r="A13" s="302" t="s">
        <v>187</v>
      </c>
      <c r="B13" s="98" t="s">
        <v>129</v>
      </c>
      <c r="C13" s="308" t="s">
        <v>55</v>
      </c>
      <c r="D13" s="304"/>
      <c r="E13" s="304"/>
      <c r="F13" s="307"/>
      <c r="G13" s="305"/>
      <c r="H13" s="298"/>
      <c r="I13" s="298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1:19" s="88" customFormat="1" ht="34.5" customHeight="1">
      <c r="A14" s="302"/>
      <c r="B14" s="99" t="s">
        <v>130</v>
      </c>
      <c r="C14" s="308"/>
      <c r="D14" s="304"/>
      <c r="E14" s="304"/>
      <c r="F14" s="307"/>
      <c r="G14" s="305"/>
      <c r="H14" s="298"/>
      <c r="I14" s="298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1:19" s="88" customFormat="1" ht="34.5" customHeight="1">
      <c r="A15" s="302" t="s">
        <v>188</v>
      </c>
      <c r="B15" s="303" t="s">
        <v>131</v>
      </c>
      <c r="C15" s="303"/>
      <c r="D15" s="304"/>
      <c r="E15" s="304"/>
      <c r="F15" s="307"/>
      <c r="G15" s="305"/>
      <c r="H15" s="299"/>
      <c r="I15" s="299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1:19" s="88" customFormat="1" ht="34.5" customHeight="1">
      <c r="A16" s="302"/>
      <c r="B16" s="306" t="s">
        <v>132</v>
      </c>
      <c r="C16" s="306"/>
      <c r="D16" s="304"/>
      <c r="E16" s="304"/>
      <c r="F16" s="307"/>
      <c r="G16" s="305"/>
      <c r="H16" s="299"/>
      <c r="I16" s="299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1:19" s="88" customFormat="1" ht="34.5" customHeight="1">
      <c r="A17" s="302" t="s">
        <v>189</v>
      </c>
      <c r="B17" s="98" t="s">
        <v>133</v>
      </c>
      <c r="C17" s="308" t="s">
        <v>55</v>
      </c>
      <c r="D17" s="304"/>
      <c r="E17" s="304"/>
      <c r="F17" s="307"/>
      <c r="G17" s="305"/>
      <c r="H17" s="298"/>
      <c r="I17" s="298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1:19" s="88" customFormat="1" ht="34.5" customHeight="1">
      <c r="A18" s="302"/>
      <c r="B18" s="99" t="s">
        <v>134</v>
      </c>
      <c r="C18" s="308"/>
      <c r="D18" s="304"/>
      <c r="E18" s="304"/>
      <c r="F18" s="307"/>
      <c r="G18" s="305"/>
      <c r="H18" s="298"/>
      <c r="I18" s="298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1:19" s="88" customFormat="1" ht="34.5" customHeight="1">
      <c r="A19" s="302" t="s">
        <v>190</v>
      </c>
      <c r="B19" s="98" t="s">
        <v>135</v>
      </c>
      <c r="C19" s="308" t="s">
        <v>55</v>
      </c>
      <c r="D19" s="304"/>
      <c r="E19" s="304"/>
      <c r="F19" s="307"/>
      <c r="G19" s="305"/>
      <c r="H19" s="298"/>
      <c r="I19" s="298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1:19" s="88" customFormat="1" ht="34.5" customHeight="1">
      <c r="A20" s="302"/>
      <c r="B20" s="99" t="s">
        <v>136</v>
      </c>
      <c r="C20" s="308"/>
      <c r="D20" s="304"/>
      <c r="E20" s="304"/>
      <c r="F20" s="307"/>
      <c r="G20" s="305"/>
      <c r="H20" s="298"/>
      <c r="I20" s="298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1:19" s="88" customFormat="1" ht="34.5" customHeight="1">
      <c r="A21" s="302" t="s">
        <v>191</v>
      </c>
      <c r="B21" s="98" t="s">
        <v>137</v>
      </c>
      <c r="C21" s="308" t="s">
        <v>55</v>
      </c>
      <c r="D21" s="304"/>
      <c r="E21" s="304"/>
      <c r="F21" s="307"/>
      <c r="G21" s="305"/>
      <c r="H21" s="298"/>
      <c r="I21" s="298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1:19" s="88" customFormat="1" ht="34.5" customHeight="1">
      <c r="A22" s="302"/>
      <c r="B22" s="99" t="s">
        <v>138</v>
      </c>
      <c r="C22" s="308"/>
      <c r="D22" s="304"/>
      <c r="E22" s="304"/>
      <c r="F22" s="307"/>
      <c r="G22" s="305"/>
      <c r="H22" s="298"/>
      <c r="I22" s="298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1:19" s="88" customFormat="1" ht="34.5" customHeight="1">
      <c r="A23" s="302" t="s">
        <v>192</v>
      </c>
      <c r="B23" s="98" t="s">
        <v>139</v>
      </c>
      <c r="C23" s="308" t="s">
        <v>55</v>
      </c>
      <c r="D23" s="304"/>
      <c r="E23" s="304"/>
      <c r="F23" s="307"/>
      <c r="G23" s="305"/>
      <c r="H23" s="298"/>
      <c r="I23" s="298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1:19" s="88" customFormat="1" ht="34.5" customHeight="1">
      <c r="A24" s="302"/>
      <c r="B24" s="99" t="s">
        <v>140</v>
      </c>
      <c r="C24" s="308"/>
      <c r="D24" s="304"/>
      <c r="E24" s="304"/>
      <c r="F24" s="307"/>
      <c r="G24" s="305"/>
      <c r="H24" s="298"/>
      <c r="I24" s="298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1:19" s="88" customFormat="1" ht="34.5" customHeight="1">
      <c r="A25" s="302" t="s">
        <v>193</v>
      </c>
      <c r="B25" s="98" t="s">
        <v>141</v>
      </c>
      <c r="C25" s="308" t="s">
        <v>55</v>
      </c>
      <c r="D25" s="304"/>
      <c r="E25" s="304"/>
      <c r="F25" s="307"/>
      <c r="G25" s="305"/>
      <c r="H25" s="298"/>
      <c r="I25" s="298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1:19" s="88" customFormat="1" ht="34.5" customHeight="1">
      <c r="A26" s="302"/>
      <c r="B26" s="99" t="s">
        <v>129</v>
      </c>
      <c r="C26" s="308"/>
      <c r="D26" s="304"/>
      <c r="E26" s="304"/>
      <c r="F26" s="307"/>
      <c r="G26" s="305"/>
      <c r="H26" s="298"/>
      <c r="I26" s="298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1:19" s="88" customFormat="1" ht="34.5" customHeight="1">
      <c r="A27" s="302" t="s">
        <v>194</v>
      </c>
      <c r="B27" s="98" t="s">
        <v>142</v>
      </c>
      <c r="C27" s="308" t="s">
        <v>55</v>
      </c>
      <c r="D27" s="304"/>
      <c r="E27" s="304"/>
      <c r="F27" s="307"/>
      <c r="G27" s="305"/>
      <c r="H27" s="298"/>
      <c r="I27" s="298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1:19" s="88" customFormat="1" ht="34.5" customHeight="1">
      <c r="A28" s="302"/>
      <c r="B28" s="99" t="s">
        <v>130</v>
      </c>
      <c r="C28" s="308"/>
      <c r="D28" s="304"/>
      <c r="E28" s="304"/>
      <c r="F28" s="307"/>
      <c r="G28" s="305"/>
      <c r="H28" s="298"/>
      <c r="I28" s="298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1:19" s="88" customFormat="1" ht="34.5" customHeight="1">
      <c r="A29" s="302" t="s">
        <v>195</v>
      </c>
      <c r="B29" s="98" t="s">
        <v>143</v>
      </c>
      <c r="C29" s="308" t="s">
        <v>55</v>
      </c>
      <c r="D29" s="304"/>
      <c r="E29" s="304"/>
      <c r="F29" s="307"/>
      <c r="G29" s="305"/>
      <c r="H29" s="298"/>
      <c r="I29" s="298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1:19" s="88" customFormat="1" ht="34.5" customHeight="1">
      <c r="A30" s="302"/>
      <c r="B30" s="99" t="s">
        <v>144</v>
      </c>
      <c r="C30" s="308"/>
      <c r="D30" s="304"/>
      <c r="E30" s="304"/>
      <c r="F30" s="307"/>
      <c r="G30" s="305"/>
      <c r="H30" s="298"/>
      <c r="I30" s="298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1:19" s="88" customFormat="1" ht="45" customHeight="1">
      <c r="A31" s="97" t="s">
        <v>16</v>
      </c>
      <c r="B31" s="320" t="s">
        <v>39</v>
      </c>
      <c r="C31" s="320"/>
      <c r="D31" s="179" t="s">
        <v>334</v>
      </c>
      <c r="E31" s="179" t="s">
        <v>333</v>
      </c>
      <c r="F31" s="93" t="s">
        <v>332</v>
      </c>
      <c r="G31" s="93" t="s">
        <v>331</v>
      </c>
      <c r="H31" s="114"/>
      <c r="I31" s="114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1:19" s="88" customFormat="1" ht="34.5" customHeight="1">
      <c r="A32" s="302" t="s">
        <v>196</v>
      </c>
      <c r="B32" s="98" t="s">
        <v>181</v>
      </c>
      <c r="C32" s="308" t="s">
        <v>55</v>
      </c>
      <c r="D32" s="304"/>
      <c r="E32" s="304"/>
      <c r="F32" s="321">
        <v>0.95</v>
      </c>
      <c r="G32" s="305">
        <v>0.83299999999999996</v>
      </c>
      <c r="H32" s="298"/>
      <c r="I32" s="298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1:19" s="88" customFormat="1" ht="34.5" customHeight="1">
      <c r="A33" s="302"/>
      <c r="B33" s="99" t="s">
        <v>182</v>
      </c>
      <c r="C33" s="308"/>
      <c r="D33" s="304"/>
      <c r="E33" s="304"/>
      <c r="F33" s="321"/>
      <c r="G33" s="305"/>
      <c r="H33" s="298"/>
      <c r="I33" s="298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1:19" s="88" customFormat="1" ht="34.5" customHeight="1">
      <c r="A34" s="302" t="s">
        <v>197</v>
      </c>
      <c r="B34" s="98" t="s">
        <v>57</v>
      </c>
      <c r="C34" s="308" t="s">
        <v>55</v>
      </c>
      <c r="D34" s="304"/>
      <c r="E34" s="304"/>
      <c r="F34" s="321">
        <v>0.8</v>
      </c>
      <c r="G34" s="305">
        <v>0.65</v>
      </c>
      <c r="H34" s="298"/>
      <c r="I34" s="298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1:19" s="88" customFormat="1" ht="34.5" customHeight="1">
      <c r="A35" s="302"/>
      <c r="B35" s="99" t="s">
        <v>58</v>
      </c>
      <c r="C35" s="308"/>
      <c r="D35" s="304"/>
      <c r="E35" s="304"/>
      <c r="F35" s="321"/>
      <c r="G35" s="305"/>
      <c r="H35" s="298"/>
      <c r="I35" s="298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1:19" s="88" customFormat="1" ht="34.5" customHeight="1">
      <c r="A36" s="302" t="s">
        <v>198</v>
      </c>
      <c r="B36" s="98" t="s">
        <v>145</v>
      </c>
      <c r="C36" s="308" t="s">
        <v>55</v>
      </c>
      <c r="D36" s="304"/>
      <c r="E36" s="304"/>
      <c r="F36" s="321">
        <v>0.33</v>
      </c>
      <c r="G36" s="305">
        <v>0.50980000000000003</v>
      </c>
      <c r="H36" s="298"/>
      <c r="I36" s="298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1:19" s="88" customFormat="1" ht="34.5" customHeight="1">
      <c r="A37" s="302"/>
      <c r="B37" s="99" t="s">
        <v>146</v>
      </c>
      <c r="C37" s="308"/>
      <c r="D37" s="304"/>
      <c r="E37" s="304"/>
      <c r="F37" s="321"/>
      <c r="G37" s="305"/>
      <c r="H37" s="298"/>
      <c r="I37" s="298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1:19" s="88" customFormat="1" ht="45" customHeight="1">
      <c r="A38" s="97" t="s">
        <v>17</v>
      </c>
      <c r="B38" s="320" t="s">
        <v>39</v>
      </c>
      <c r="C38" s="320"/>
      <c r="D38" s="179" t="s">
        <v>334</v>
      </c>
      <c r="E38" s="179" t="s">
        <v>333</v>
      </c>
      <c r="F38" s="93" t="s">
        <v>332</v>
      </c>
      <c r="G38" s="93" t="s">
        <v>331</v>
      </c>
      <c r="H38" s="114"/>
      <c r="I38" s="114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1:19" s="88" customFormat="1" ht="34.5" customHeight="1">
      <c r="A39" s="322" t="s">
        <v>199</v>
      </c>
      <c r="B39" s="100" t="s">
        <v>147</v>
      </c>
      <c r="C39" s="308" t="s">
        <v>55</v>
      </c>
      <c r="D39" s="304"/>
      <c r="E39" s="304"/>
      <c r="F39" s="307"/>
      <c r="G39" s="305"/>
      <c r="H39" s="298"/>
      <c r="I39" s="298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1:19" s="88" customFormat="1" ht="34.5" customHeight="1">
      <c r="A40" s="322"/>
      <c r="B40" s="101" t="s">
        <v>148</v>
      </c>
      <c r="C40" s="308"/>
      <c r="D40" s="304"/>
      <c r="E40" s="304"/>
      <c r="F40" s="307"/>
      <c r="G40" s="305"/>
      <c r="H40" s="298"/>
      <c r="I40" s="298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1:19" s="88" customFormat="1" ht="34.5" customHeight="1">
      <c r="A41" s="322" t="s">
        <v>200</v>
      </c>
      <c r="B41" s="100" t="s">
        <v>149</v>
      </c>
      <c r="C41" s="308" t="s">
        <v>55</v>
      </c>
      <c r="D41" s="304"/>
      <c r="E41" s="304"/>
      <c r="F41" s="307"/>
      <c r="G41" s="305"/>
      <c r="H41" s="298"/>
      <c r="I41" s="298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1:19" s="88" customFormat="1" ht="34.5" customHeight="1">
      <c r="A42" s="322"/>
      <c r="B42" s="101" t="s">
        <v>150</v>
      </c>
      <c r="C42" s="308"/>
      <c r="D42" s="304"/>
      <c r="E42" s="304"/>
      <c r="F42" s="307"/>
      <c r="G42" s="305"/>
      <c r="H42" s="298"/>
      <c r="I42" s="298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1:19" s="88" customFormat="1" ht="34.5" customHeight="1">
      <c r="A43" s="322" t="s">
        <v>201</v>
      </c>
      <c r="B43" s="323" t="s">
        <v>151</v>
      </c>
      <c r="C43" s="323"/>
      <c r="D43" s="304"/>
      <c r="E43" s="304"/>
      <c r="F43" s="307"/>
      <c r="G43" s="305"/>
      <c r="H43" s="301"/>
      <c r="I43" s="301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1:19" s="88" customFormat="1" ht="34.5" customHeight="1">
      <c r="A44" s="322"/>
      <c r="B44" s="324" t="s">
        <v>152</v>
      </c>
      <c r="C44" s="324"/>
      <c r="D44" s="304"/>
      <c r="E44" s="304"/>
      <c r="F44" s="307"/>
      <c r="G44" s="305"/>
      <c r="H44" s="301"/>
      <c r="I44" s="301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1:19" s="88" customFormat="1" ht="34.5" customHeight="1">
      <c r="A45" s="322" t="s">
        <v>202</v>
      </c>
      <c r="B45" s="100" t="s">
        <v>153</v>
      </c>
      <c r="C45" s="300" t="s">
        <v>55</v>
      </c>
      <c r="D45" s="304"/>
      <c r="E45" s="304"/>
      <c r="F45" s="307"/>
      <c r="G45" s="305"/>
      <c r="H45" s="298"/>
      <c r="I45" s="298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1:19" ht="34.5" customHeight="1">
      <c r="A46" s="322"/>
      <c r="B46" s="101" t="s">
        <v>154</v>
      </c>
      <c r="C46" s="300"/>
      <c r="D46" s="304"/>
      <c r="E46" s="304"/>
      <c r="F46" s="307"/>
      <c r="G46" s="305"/>
      <c r="H46" s="298"/>
      <c r="I46" s="298"/>
    </row>
    <row r="47" spans="1:19" s="88" customFormat="1" ht="45" customHeight="1">
      <c r="A47" s="97" t="s">
        <v>18</v>
      </c>
      <c r="B47" s="320" t="s">
        <v>39</v>
      </c>
      <c r="C47" s="320"/>
      <c r="D47" s="179" t="s">
        <v>334</v>
      </c>
      <c r="E47" s="179" t="s">
        <v>333</v>
      </c>
      <c r="F47" s="93" t="s">
        <v>332</v>
      </c>
      <c r="G47" s="93" t="s">
        <v>331</v>
      </c>
      <c r="H47" s="114"/>
      <c r="I47" s="114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1:19" ht="53.25" customHeight="1">
      <c r="A48" s="102" t="s">
        <v>203</v>
      </c>
      <c r="B48" s="325" t="s">
        <v>155</v>
      </c>
      <c r="C48" s="325"/>
      <c r="D48" s="10"/>
      <c r="E48" s="10"/>
      <c r="F48" s="10"/>
      <c r="G48" s="10"/>
      <c r="H48" s="115"/>
      <c r="I48" s="116"/>
    </row>
    <row r="49" spans="1:19" s="88" customFormat="1" ht="45" customHeight="1">
      <c r="A49" s="97" t="s">
        <v>19</v>
      </c>
      <c r="B49" s="320" t="s">
        <v>39</v>
      </c>
      <c r="C49" s="320"/>
      <c r="D49" s="179" t="s">
        <v>334</v>
      </c>
      <c r="E49" s="179" t="s">
        <v>333</v>
      </c>
      <c r="F49" s="93" t="s">
        <v>332</v>
      </c>
      <c r="G49" s="93" t="s">
        <v>331</v>
      </c>
      <c r="H49" s="114"/>
      <c r="I49" s="114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1:19" ht="34.5" customHeight="1">
      <c r="A50" s="322" t="s">
        <v>204</v>
      </c>
      <c r="B50" s="100" t="s">
        <v>156</v>
      </c>
      <c r="C50" s="300" t="s">
        <v>55</v>
      </c>
      <c r="D50" s="304"/>
      <c r="E50" s="304"/>
      <c r="F50" s="307"/>
      <c r="G50" s="305"/>
      <c r="H50" s="298"/>
      <c r="I50" s="298"/>
    </row>
    <row r="51" spans="1:19" ht="34.5" customHeight="1">
      <c r="A51" s="322"/>
      <c r="B51" s="101" t="s">
        <v>126</v>
      </c>
      <c r="C51" s="300"/>
      <c r="D51" s="304"/>
      <c r="E51" s="304"/>
      <c r="F51" s="307"/>
      <c r="G51" s="305"/>
      <c r="H51" s="298"/>
      <c r="I51" s="298"/>
    </row>
    <row r="52" spans="1:19" ht="34.5" customHeight="1">
      <c r="A52" s="322" t="s">
        <v>205</v>
      </c>
      <c r="B52" s="100" t="s">
        <v>155</v>
      </c>
      <c r="C52" s="300" t="s">
        <v>55</v>
      </c>
      <c r="D52" s="304"/>
      <c r="E52" s="304"/>
      <c r="F52" s="307"/>
      <c r="G52" s="305"/>
      <c r="H52" s="298"/>
      <c r="I52" s="298"/>
    </row>
    <row r="53" spans="1:19" ht="34.5" customHeight="1">
      <c r="A53" s="322"/>
      <c r="B53" s="101" t="s">
        <v>126</v>
      </c>
      <c r="C53" s="300"/>
      <c r="D53" s="304"/>
      <c r="E53" s="304"/>
      <c r="F53" s="307"/>
      <c r="G53" s="305"/>
      <c r="H53" s="298"/>
      <c r="I53" s="298"/>
    </row>
    <row r="54" spans="1:19" s="88" customFormat="1" ht="45" customHeight="1">
      <c r="A54" s="97" t="s">
        <v>20</v>
      </c>
      <c r="B54" s="320" t="s">
        <v>39</v>
      </c>
      <c r="C54" s="320"/>
      <c r="D54" s="179" t="s">
        <v>334</v>
      </c>
      <c r="E54" s="179" t="s">
        <v>333</v>
      </c>
      <c r="F54" s="93" t="s">
        <v>332</v>
      </c>
      <c r="G54" s="93" t="s">
        <v>331</v>
      </c>
      <c r="H54" s="114"/>
      <c r="I54" s="114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1:19" s="88" customFormat="1" ht="34.5" customHeight="1">
      <c r="A55" s="201" t="s">
        <v>346</v>
      </c>
      <c r="B55" s="300" t="s">
        <v>347</v>
      </c>
      <c r="C55" s="300"/>
      <c r="D55" s="172"/>
      <c r="E55" s="172"/>
      <c r="F55" s="202">
        <v>400000</v>
      </c>
      <c r="G55" s="172"/>
      <c r="H55" s="117"/>
      <c r="I55" s="11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1:19" s="88" customFormat="1" ht="34.5" customHeight="1">
      <c r="A56" s="201" t="s">
        <v>348</v>
      </c>
      <c r="B56" s="300" t="s">
        <v>349</v>
      </c>
      <c r="C56" s="300"/>
      <c r="D56" s="172"/>
      <c r="E56" s="172"/>
      <c r="F56" s="203" t="s">
        <v>365</v>
      </c>
      <c r="G56" s="172"/>
      <c r="H56" s="117"/>
      <c r="I56" s="11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1:19" s="88" customFormat="1" ht="34.5" customHeight="1">
      <c r="A57" s="201" t="s">
        <v>350</v>
      </c>
      <c r="B57" s="300" t="s">
        <v>351</v>
      </c>
      <c r="C57" s="300"/>
      <c r="D57" s="172"/>
      <c r="E57" s="172"/>
      <c r="F57" s="203" t="s">
        <v>366</v>
      </c>
      <c r="G57" s="172"/>
      <c r="H57" s="117"/>
      <c r="I57" s="11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1:19" s="88" customFormat="1" ht="34.5" customHeight="1">
      <c r="A58" s="201" t="s">
        <v>352</v>
      </c>
      <c r="B58" s="300" t="s">
        <v>353</v>
      </c>
      <c r="C58" s="300"/>
      <c r="D58" s="172"/>
      <c r="E58" s="172"/>
      <c r="F58" s="203" t="s">
        <v>367</v>
      </c>
      <c r="G58" s="172"/>
      <c r="H58" s="117"/>
      <c r="I58" s="11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1:19" s="88" customFormat="1" ht="34.5" customHeight="1">
      <c r="A59" s="201" t="s">
        <v>354</v>
      </c>
      <c r="B59" s="300" t="s">
        <v>355</v>
      </c>
      <c r="C59" s="300"/>
      <c r="D59" s="172"/>
      <c r="E59" s="172"/>
      <c r="F59" s="202">
        <v>1100</v>
      </c>
      <c r="G59" s="172"/>
      <c r="H59" s="117"/>
      <c r="I59" s="11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1:19" s="88" customFormat="1" ht="34.5" customHeight="1">
      <c r="A60" s="201" t="s">
        <v>357</v>
      </c>
      <c r="B60" s="300" t="s">
        <v>356</v>
      </c>
      <c r="C60" s="300"/>
      <c r="D60" s="172"/>
      <c r="E60" s="172"/>
      <c r="F60" s="202">
        <v>21000000</v>
      </c>
      <c r="G60" s="172"/>
      <c r="H60" s="117"/>
      <c r="I60" s="11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1:19" s="88" customFormat="1" ht="34.5" customHeight="1">
      <c r="A61" s="201" t="s">
        <v>358</v>
      </c>
      <c r="B61" s="300" t="s">
        <v>359</v>
      </c>
      <c r="C61" s="300"/>
      <c r="D61" s="172"/>
      <c r="E61" s="172"/>
      <c r="F61" s="202">
        <v>1200000</v>
      </c>
      <c r="G61" s="172"/>
      <c r="H61" s="117"/>
      <c r="I61" s="11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1:19" s="88" customFormat="1" ht="34.5" customHeight="1">
      <c r="A62" s="322" t="s">
        <v>360</v>
      </c>
      <c r="B62" s="100" t="s">
        <v>361</v>
      </c>
      <c r="C62" s="300" t="s">
        <v>55</v>
      </c>
      <c r="D62" s="329"/>
      <c r="E62" s="329"/>
      <c r="F62" s="330">
        <v>1</v>
      </c>
      <c r="G62" s="329"/>
      <c r="H62" s="298"/>
      <c r="I62" s="298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1:19" s="88" customFormat="1" ht="34.5" customHeight="1">
      <c r="A63" s="322"/>
      <c r="B63" s="101" t="s">
        <v>362</v>
      </c>
      <c r="C63" s="300"/>
      <c r="D63" s="304"/>
      <c r="E63" s="304"/>
      <c r="F63" s="330"/>
      <c r="G63" s="304"/>
      <c r="H63" s="298"/>
      <c r="I63" s="298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1:19" s="88" customFormat="1" ht="58.5" customHeight="1">
      <c r="A64" s="103" t="s">
        <v>363</v>
      </c>
      <c r="B64" s="326" t="s">
        <v>364</v>
      </c>
      <c r="C64" s="327"/>
      <c r="D64" s="172"/>
      <c r="E64" s="172"/>
      <c r="F64" s="204">
        <v>90000000</v>
      </c>
      <c r="G64" s="172"/>
      <c r="H64" s="117"/>
      <c r="I64" s="11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1:19" s="88" customFormat="1" ht="45" customHeight="1">
      <c r="A65" s="97" t="s">
        <v>21</v>
      </c>
      <c r="B65" s="320" t="s">
        <v>39</v>
      </c>
      <c r="C65" s="320"/>
      <c r="D65" s="179" t="s">
        <v>334</v>
      </c>
      <c r="E65" s="179" t="s">
        <v>333</v>
      </c>
      <c r="F65" s="93" t="s">
        <v>332</v>
      </c>
      <c r="G65" s="93" t="s">
        <v>331</v>
      </c>
      <c r="H65" s="114"/>
      <c r="I65" s="114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1:19" s="88" customFormat="1" ht="34.5" customHeight="1">
      <c r="A66" s="328" t="s">
        <v>206</v>
      </c>
      <c r="B66" s="104" t="s">
        <v>157</v>
      </c>
      <c r="C66" s="300" t="s">
        <v>55</v>
      </c>
      <c r="D66" s="304"/>
      <c r="E66" s="304"/>
      <c r="F66" s="307"/>
      <c r="G66" s="305"/>
      <c r="H66" s="298"/>
      <c r="I66" s="298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1:19" s="88" customFormat="1" ht="34.5" customHeight="1">
      <c r="A67" s="328"/>
      <c r="B67" s="105" t="s">
        <v>158</v>
      </c>
      <c r="C67" s="300"/>
      <c r="D67" s="304"/>
      <c r="E67" s="304"/>
      <c r="F67" s="307"/>
      <c r="G67" s="305"/>
      <c r="H67" s="298"/>
      <c r="I67" s="298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1:19" s="88" customFormat="1" ht="34.5" customHeight="1">
      <c r="A68" s="331" t="s">
        <v>207</v>
      </c>
      <c r="B68" s="106" t="s">
        <v>121</v>
      </c>
      <c r="C68" s="300" t="s">
        <v>55</v>
      </c>
      <c r="D68" s="304"/>
      <c r="E68" s="304"/>
      <c r="F68" s="307"/>
      <c r="G68" s="305"/>
      <c r="H68" s="298"/>
      <c r="I68" s="298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1:19" s="88" customFormat="1" ht="34.5" customHeight="1">
      <c r="A69" s="331"/>
      <c r="B69" s="107" t="s">
        <v>159</v>
      </c>
      <c r="C69" s="300"/>
      <c r="D69" s="304"/>
      <c r="E69" s="304"/>
      <c r="F69" s="307"/>
      <c r="G69" s="305"/>
      <c r="H69" s="298"/>
      <c r="I69" s="298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1:19" s="88" customFormat="1" ht="34.5" customHeight="1">
      <c r="A70" s="322" t="s">
        <v>208</v>
      </c>
      <c r="B70" s="323" t="s">
        <v>160</v>
      </c>
      <c r="C70" s="323"/>
      <c r="D70" s="304"/>
      <c r="E70" s="304"/>
      <c r="F70" s="307"/>
      <c r="G70" s="305"/>
      <c r="H70" s="299"/>
      <c r="I70" s="299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1:19" s="88" customFormat="1" ht="34.5" customHeight="1">
      <c r="A71" s="322"/>
      <c r="B71" s="324" t="s">
        <v>161</v>
      </c>
      <c r="C71" s="324"/>
      <c r="D71" s="304"/>
      <c r="E71" s="304"/>
      <c r="F71" s="307"/>
      <c r="G71" s="305"/>
      <c r="H71" s="299"/>
      <c r="I71" s="299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1:19" s="88" customFormat="1" ht="45" customHeight="1">
      <c r="A72" s="97" t="s">
        <v>22</v>
      </c>
      <c r="B72" s="320" t="s">
        <v>39</v>
      </c>
      <c r="C72" s="320"/>
      <c r="D72" s="179" t="s">
        <v>334</v>
      </c>
      <c r="E72" s="179" t="s">
        <v>333</v>
      </c>
      <c r="F72" s="93" t="s">
        <v>332</v>
      </c>
      <c r="G72" s="93" t="s">
        <v>331</v>
      </c>
      <c r="H72" s="114"/>
      <c r="I72" s="114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1:19" s="88" customFormat="1" ht="34.5" customHeight="1">
      <c r="A73" s="322" t="s">
        <v>209</v>
      </c>
      <c r="B73" s="323" t="s">
        <v>183</v>
      </c>
      <c r="C73" s="323"/>
      <c r="D73" s="304"/>
      <c r="E73" s="304"/>
      <c r="F73" s="304"/>
      <c r="G73" s="304"/>
      <c r="H73" s="299"/>
      <c r="I73" s="299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1:19" s="88" customFormat="1" ht="34.5" customHeight="1">
      <c r="A74" s="322"/>
      <c r="B74" s="324" t="s">
        <v>163</v>
      </c>
      <c r="C74" s="324"/>
      <c r="D74" s="304"/>
      <c r="E74" s="304"/>
      <c r="F74" s="304"/>
      <c r="G74" s="304"/>
      <c r="H74" s="299"/>
      <c r="I74" s="299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1:19" s="88" customFormat="1" ht="34.5" customHeight="1">
      <c r="A75" s="322" t="s">
        <v>210</v>
      </c>
      <c r="B75" s="100" t="s">
        <v>116</v>
      </c>
      <c r="C75" s="300" t="s">
        <v>55</v>
      </c>
      <c r="D75" s="304"/>
      <c r="E75" s="304"/>
      <c r="F75" s="304"/>
      <c r="G75" s="304"/>
      <c r="H75" s="298"/>
      <c r="I75" s="298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1:19" ht="34.5" customHeight="1">
      <c r="A76" s="322"/>
      <c r="B76" s="101" t="s">
        <v>162</v>
      </c>
      <c r="C76" s="300"/>
      <c r="D76" s="304"/>
      <c r="E76" s="304"/>
      <c r="F76" s="304"/>
      <c r="G76" s="304"/>
      <c r="H76" s="298"/>
      <c r="I76" s="298"/>
    </row>
    <row r="77" spans="1:19" s="88" customFormat="1" ht="34.5" customHeight="1">
      <c r="A77" s="322" t="s">
        <v>211</v>
      </c>
      <c r="B77" s="100" t="s">
        <v>164</v>
      </c>
      <c r="C77" s="300" t="s">
        <v>55</v>
      </c>
      <c r="D77" s="304"/>
      <c r="E77" s="304"/>
      <c r="F77" s="304"/>
      <c r="G77" s="304"/>
      <c r="H77" s="298"/>
      <c r="I77" s="298"/>
    </row>
    <row r="78" spans="1:19" s="88" customFormat="1" ht="34.5" customHeight="1">
      <c r="A78" s="322"/>
      <c r="B78" s="101" t="s">
        <v>162</v>
      </c>
      <c r="C78" s="300"/>
      <c r="D78" s="304"/>
      <c r="E78" s="304"/>
      <c r="F78" s="304"/>
      <c r="G78" s="304"/>
      <c r="H78" s="298"/>
      <c r="I78" s="298"/>
    </row>
    <row r="79" spans="1:19" s="88" customFormat="1" ht="45" customHeight="1">
      <c r="A79" s="97" t="s">
        <v>23</v>
      </c>
      <c r="B79" s="320" t="s">
        <v>39</v>
      </c>
      <c r="C79" s="320"/>
      <c r="D79" s="179" t="s">
        <v>334</v>
      </c>
      <c r="E79" s="179" t="s">
        <v>333</v>
      </c>
      <c r="F79" s="93" t="s">
        <v>332</v>
      </c>
      <c r="G79" s="93" t="s">
        <v>331</v>
      </c>
      <c r="H79" s="114"/>
      <c r="I79" s="114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1:19" ht="34.5" customHeight="1">
      <c r="A80" s="322" t="s">
        <v>212</v>
      </c>
      <c r="B80" s="323" t="s">
        <v>165</v>
      </c>
      <c r="C80" s="323"/>
      <c r="D80" s="304"/>
      <c r="E80" s="304"/>
      <c r="F80" s="304"/>
      <c r="G80" s="304"/>
      <c r="H80" s="301"/>
      <c r="I80" s="301"/>
    </row>
    <row r="81" spans="1:19" ht="34.5" customHeight="1">
      <c r="A81" s="322"/>
      <c r="B81" s="324" t="s">
        <v>60</v>
      </c>
      <c r="C81" s="324"/>
      <c r="D81" s="304"/>
      <c r="E81" s="304"/>
      <c r="F81" s="304"/>
      <c r="G81" s="304"/>
      <c r="H81" s="301"/>
      <c r="I81" s="301"/>
    </row>
    <row r="82" spans="1:19" ht="34.5" customHeight="1">
      <c r="A82" s="322" t="s">
        <v>213</v>
      </c>
      <c r="B82" s="100" t="s">
        <v>166</v>
      </c>
      <c r="C82" s="300" t="s">
        <v>55</v>
      </c>
      <c r="D82" s="304"/>
      <c r="E82" s="304"/>
      <c r="F82" s="304"/>
      <c r="G82" s="304"/>
      <c r="H82" s="298"/>
      <c r="I82" s="298"/>
    </row>
    <row r="83" spans="1:19" ht="34.5" customHeight="1">
      <c r="A83" s="322"/>
      <c r="B83" s="101" t="s">
        <v>165</v>
      </c>
      <c r="C83" s="300"/>
      <c r="D83" s="304"/>
      <c r="E83" s="304"/>
      <c r="F83" s="304"/>
      <c r="G83" s="304"/>
      <c r="H83" s="298"/>
      <c r="I83" s="298"/>
    </row>
    <row r="84" spans="1:19" ht="34.5" customHeight="1">
      <c r="A84" s="322" t="s">
        <v>214</v>
      </c>
      <c r="B84" s="323" t="s">
        <v>119</v>
      </c>
      <c r="C84" s="323"/>
      <c r="D84" s="304"/>
      <c r="E84" s="304"/>
      <c r="F84" s="304"/>
      <c r="G84" s="304"/>
      <c r="H84" s="299"/>
      <c r="I84" s="299"/>
    </row>
    <row r="85" spans="1:19" ht="34.5" customHeight="1">
      <c r="A85" s="322"/>
      <c r="B85" s="324" t="s">
        <v>59</v>
      </c>
      <c r="C85" s="324"/>
      <c r="D85" s="304"/>
      <c r="E85" s="304"/>
      <c r="F85" s="304"/>
      <c r="G85" s="304"/>
      <c r="H85" s="299"/>
      <c r="I85" s="299"/>
    </row>
    <row r="86" spans="1:19" ht="34.5" customHeight="1">
      <c r="A86" s="322" t="s">
        <v>215</v>
      </c>
      <c r="B86" s="100" t="s">
        <v>120</v>
      </c>
      <c r="C86" s="300" t="s">
        <v>55</v>
      </c>
      <c r="D86" s="304"/>
      <c r="E86" s="304"/>
      <c r="F86" s="304"/>
      <c r="G86" s="304"/>
      <c r="H86" s="298"/>
      <c r="I86" s="298"/>
    </row>
    <row r="87" spans="1:19" s="88" customFormat="1" ht="34.5" customHeight="1">
      <c r="A87" s="322"/>
      <c r="B87" s="101" t="s">
        <v>184</v>
      </c>
      <c r="C87" s="300"/>
      <c r="D87" s="304"/>
      <c r="E87" s="304"/>
      <c r="F87" s="304"/>
      <c r="G87" s="304"/>
      <c r="H87" s="298"/>
      <c r="I87" s="298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1:19" s="88" customFormat="1" ht="34.5" customHeight="1">
      <c r="A88" s="322" t="s">
        <v>216</v>
      </c>
      <c r="B88" s="100" t="s">
        <v>61</v>
      </c>
      <c r="C88" s="300" t="s">
        <v>55</v>
      </c>
      <c r="D88" s="304"/>
      <c r="E88" s="304"/>
      <c r="F88" s="304"/>
      <c r="G88" s="304"/>
      <c r="H88" s="298"/>
      <c r="I88" s="298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1:19" s="88" customFormat="1" ht="34.5" customHeight="1">
      <c r="A89" s="322"/>
      <c r="B89" s="101" t="s">
        <v>168</v>
      </c>
      <c r="C89" s="300"/>
      <c r="D89" s="304"/>
      <c r="E89" s="304"/>
      <c r="F89" s="304"/>
      <c r="G89" s="304"/>
      <c r="H89" s="298"/>
      <c r="I89" s="298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1:19" s="88" customFormat="1" ht="45" customHeight="1">
      <c r="A90" s="97" t="s">
        <v>24</v>
      </c>
      <c r="B90" s="320" t="s">
        <v>39</v>
      </c>
      <c r="C90" s="320"/>
      <c r="D90" s="179" t="s">
        <v>334</v>
      </c>
      <c r="E90" s="179" t="s">
        <v>333</v>
      </c>
      <c r="F90" s="93" t="s">
        <v>332</v>
      </c>
      <c r="G90" s="93" t="s">
        <v>331</v>
      </c>
      <c r="H90" s="114"/>
      <c r="I90" s="114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1:19" s="88" customFormat="1" ht="34.5" customHeight="1">
      <c r="A91" s="322" t="s">
        <v>217</v>
      </c>
      <c r="B91" s="100" t="s">
        <v>169</v>
      </c>
      <c r="C91" s="300" t="s">
        <v>55</v>
      </c>
      <c r="D91" s="304"/>
      <c r="E91" s="304"/>
      <c r="F91" s="304"/>
      <c r="G91" s="304"/>
      <c r="H91" s="298"/>
      <c r="I91" s="298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1:19" s="88" customFormat="1" ht="34.5" customHeight="1">
      <c r="A92" s="322"/>
      <c r="B92" s="101" t="s">
        <v>170</v>
      </c>
      <c r="C92" s="300"/>
      <c r="D92" s="304"/>
      <c r="E92" s="304"/>
      <c r="F92" s="304"/>
      <c r="G92" s="304"/>
      <c r="H92" s="298"/>
      <c r="I92" s="298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1:19" s="88" customFormat="1" ht="34.5" customHeight="1">
      <c r="A93" s="322" t="s">
        <v>218</v>
      </c>
      <c r="B93" s="100" t="s">
        <v>171</v>
      </c>
      <c r="C93" s="300" t="s">
        <v>55</v>
      </c>
      <c r="D93" s="304"/>
      <c r="E93" s="304"/>
      <c r="F93" s="304"/>
      <c r="G93" s="304"/>
      <c r="H93" s="298"/>
      <c r="I93" s="298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1:19" s="88" customFormat="1" ht="34.5" customHeight="1">
      <c r="A94" s="322"/>
      <c r="B94" s="101" t="s">
        <v>172</v>
      </c>
      <c r="C94" s="300"/>
      <c r="D94" s="304"/>
      <c r="E94" s="304"/>
      <c r="F94" s="304"/>
      <c r="G94" s="304"/>
      <c r="H94" s="298"/>
      <c r="I94" s="298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1:19" s="88" customFormat="1" ht="34.5" customHeight="1">
      <c r="A95" s="322" t="s">
        <v>219</v>
      </c>
      <c r="B95" s="100" t="s">
        <v>173</v>
      </c>
      <c r="C95" s="300" t="s">
        <v>55</v>
      </c>
      <c r="D95" s="304"/>
      <c r="E95" s="304"/>
      <c r="F95" s="304"/>
      <c r="G95" s="304"/>
      <c r="H95" s="298"/>
      <c r="I95" s="298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1:19" s="88" customFormat="1" ht="34.5" customHeight="1">
      <c r="A96" s="322"/>
      <c r="B96" s="101" t="s">
        <v>172</v>
      </c>
      <c r="C96" s="300"/>
      <c r="D96" s="304"/>
      <c r="E96" s="304"/>
      <c r="F96" s="304"/>
      <c r="G96" s="304"/>
      <c r="H96" s="298"/>
      <c r="I96" s="298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1:19" s="88" customFormat="1" ht="45" customHeight="1">
      <c r="A97" s="97" t="s">
        <v>25</v>
      </c>
      <c r="B97" s="320" t="s">
        <v>39</v>
      </c>
      <c r="C97" s="320"/>
      <c r="D97" s="179" t="s">
        <v>334</v>
      </c>
      <c r="E97" s="179" t="s">
        <v>333</v>
      </c>
      <c r="F97" s="93" t="s">
        <v>332</v>
      </c>
      <c r="G97" s="93" t="s">
        <v>331</v>
      </c>
      <c r="H97" s="114"/>
      <c r="I97" s="114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1:19" s="88" customFormat="1" ht="34.5" customHeight="1">
      <c r="A98" s="322" t="s">
        <v>220</v>
      </c>
      <c r="B98" s="323" t="s">
        <v>62</v>
      </c>
      <c r="C98" s="323"/>
      <c r="D98" s="304"/>
      <c r="E98" s="304"/>
      <c r="F98" s="304"/>
      <c r="G98" s="304"/>
      <c r="H98" s="299"/>
      <c r="I98" s="299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1:19" s="88" customFormat="1" ht="34.5" customHeight="1">
      <c r="A99" s="322"/>
      <c r="B99" s="324" t="s">
        <v>63</v>
      </c>
      <c r="C99" s="324"/>
      <c r="D99" s="304"/>
      <c r="E99" s="304"/>
      <c r="F99" s="304"/>
      <c r="G99" s="304"/>
      <c r="H99" s="299"/>
      <c r="I99" s="299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1:19" s="88" customFormat="1" ht="45" customHeight="1">
      <c r="A100" s="97" t="s">
        <v>26</v>
      </c>
      <c r="B100" s="320" t="s">
        <v>39</v>
      </c>
      <c r="C100" s="320"/>
      <c r="D100" s="179" t="s">
        <v>334</v>
      </c>
      <c r="E100" s="179" t="s">
        <v>333</v>
      </c>
      <c r="F100" s="93" t="s">
        <v>332</v>
      </c>
      <c r="G100" s="93" t="s">
        <v>331</v>
      </c>
      <c r="H100" s="114"/>
      <c r="I100" s="114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1:19" s="88" customFormat="1" ht="34.5" customHeight="1">
      <c r="A101" s="103" t="s">
        <v>174</v>
      </c>
      <c r="B101" s="300" t="s">
        <v>175</v>
      </c>
      <c r="C101" s="300"/>
      <c r="D101" s="172"/>
      <c r="E101" s="172"/>
      <c r="F101" s="172"/>
      <c r="G101" s="172"/>
      <c r="H101" s="118"/>
      <c r="I101" s="118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1:19" s="88" customFormat="1" ht="34.5" customHeight="1">
      <c r="A102" s="322" t="s">
        <v>176</v>
      </c>
      <c r="B102" s="100" t="s">
        <v>221</v>
      </c>
      <c r="C102" s="332" t="s">
        <v>55</v>
      </c>
      <c r="D102" s="304"/>
      <c r="E102" s="304"/>
      <c r="F102" s="304"/>
      <c r="G102" s="304"/>
      <c r="H102" s="298"/>
      <c r="I102" s="298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1:19" s="88" customFormat="1" ht="34.5" customHeight="1">
      <c r="A103" s="322"/>
      <c r="B103" s="101" t="s">
        <v>222</v>
      </c>
      <c r="C103" s="332"/>
      <c r="D103" s="304"/>
      <c r="E103" s="304"/>
      <c r="F103" s="304"/>
      <c r="G103" s="304"/>
      <c r="H103" s="298"/>
      <c r="I103" s="298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1:19" s="88" customFormat="1" ht="45" customHeight="1">
      <c r="A104" s="97" t="s">
        <v>27</v>
      </c>
      <c r="B104" s="320" t="s">
        <v>39</v>
      </c>
      <c r="C104" s="320"/>
      <c r="D104" s="179" t="s">
        <v>334</v>
      </c>
      <c r="E104" s="179" t="s">
        <v>333</v>
      </c>
      <c r="F104" s="93" t="s">
        <v>332</v>
      </c>
      <c r="G104" s="93" t="s">
        <v>331</v>
      </c>
      <c r="H104" s="114"/>
      <c r="I104" s="114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1:19" s="88" customFormat="1" ht="34.5" customHeight="1">
      <c r="A105" s="322" t="s">
        <v>223</v>
      </c>
      <c r="B105" s="100" t="s">
        <v>117</v>
      </c>
      <c r="C105" s="332" t="s">
        <v>55</v>
      </c>
      <c r="D105" s="304"/>
      <c r="E105" s="304" t="s">
        <v>56</v>
      </c>
      <c r="F105" s="304"/>
      <c r="G105" s="304"/>
      <c r="H105" s="298"/>
      <c r="I105" s="298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1:19" ht="34.5" customHeight="1">
      <c r="A106" s="322"/>
      <c r="B106" s="108" t="s">
        <v>64</v>
      </c>
      <c r="C106" s="332"/>
      <c r="D106" s="304"/>
      <c r="E106" s="304"/>
      <c r="F106" s="304"/>
      <c r="G106" s="304"/>
      <c r="H106" s="298"/>
      <c r="I106" s="298"/>
    </row>
    <row r="107" spans="1:19" ht="34.5" customHeight="1">
      <c r="A107" s="322" t="s">
        <v>224</v>
      </c>
      <c r="B107" s="100" t="s">
        <v>118</v>
      </c>
      <c r="C107" s="332" t="s">
        <v>55</v>
      </c>
      <c r="D107" s="304"/>
      <c r="E107" s="304" t="s">
        <v>167</v>
      </c>
      <c r="F107" s="304"/>
      <c r="G107" s="304"/>
      <c r="H107" s="298"/>
      <c r="I107" s="298"/>
    </row>
    <row r="108" spans="1:19" ht="34.5" customHeight="1">
      <c r="A108" s="322"/>
      <c r="B108" s="108" t="s">
        <v>65</v>
      </c>
      <c r="C108" s="332"/>
      <c r="D108" s="304"/>
      <c r="E108" s="304"/>
      <c r="F108" s="304"/>
      <c r="G108" s="304"/>
      <c r="H108" s="298"/>
      <c r="I108" s="298"/>
    </row>
    <row r="109" spans="1:19" ht="57.75" customHeight="1"/>
    <row r="110" spans="1:19"/>
    <row r="111" spans="1:19"/>
    <row r="112" spans="1:19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</sheetData>
  <protectedRanges>
    <protectedRange algorithmName="SHA-512" hashValue="oBu0U8UHWW1M9CSBiI+2smTKBuiu7zBMJPASzxaVW3/YfTocFsZXqoNbgPAUiXKweXnE/VLNBYi0YQjO9aRFIA==" saltValue="Uwn4xh4BFhDBBJp6oLNp+A==" spinCount="100000" sqref="H1:I1 H3:I1048576" name="Indicadores"/>
  </protectedRanges>
  <mergeCells count="346">
    <mergeCell ref="F98:F99"/>
    <mergeCell ref="D93:D94"/>
    <mergeCell ref="D95:D96"/>
    <mergeCell ref="G50:G51"/>
    <mergeCell ref="H6:H7"/>
    <mergeCell ref="H11:H12"/>
    <mergeCell ref="I11:I12"/>
    <mergeCell ref="H13:H14"/>
    <mergeCell ref="I13:I14"/>
    <mergeCell ref="H15:H16"/>
    <mergeCell ref="I15:I16"/>
    <mergeCell ref="H17:H18"/>
    <mergeCell ref="I17:I18"/>
    <mergeCell ref="H19:H20"/>
    <mergeCell ref="I19:I20"/>
    <mergeCell ref="H21:H22"/>
    <mergeCell ref="D98:D99"/>
    <mergeCell ref="D36:D37"/>
    <mergeCell ref="D39:D40"/>
    <mergeCell ref="D41:D42"/>
    <mergeCell ref="D43:D44"/>
    <mergeCell ref="D45:D46"/>
    <mergeCell ref="D50:D51"/>
    <mergeCell ref="D52:D53"/>
    <mergeCell ref="F93:F94"/>
    <mergeCell ref="F95:F96"/>
    <mergeCell ref="I5:R7"/>
    <mergeCell ref="D11:D12"/>
    <mergeCell ref="D13:D14"/>
    <mergeCell ref="D15:D16"/>
    <mergeCell ref="D17:D18"/>
    <mergeCell ref="D19:D20"/>
    <mergeCell ref="D21:D22"/>
    <mergeCell ref="D23:D24"/>
    <mergeCell ref="D62:D63"/>
    <mergeCell ref="I21:I22"/>
    <mergeCell ref="H23:H24"/>
    <mergeCell ref="I23:I24"/>
    <mergeCell ref="H25:H26"/>
    <mergeCell ref="I25:I26"/>
    <mergeCell ref="H27:H28"/>
    <mergeCell ref="I27:I28"/>
    <mergeCell ref="H29:H30"/>
    <mergeCell ref="I29:I30"/>
    <mergeCell ref="H32:H33"/>
    <mergeCell ref="I32:I33"/>
    <mergeCell ref="H34:H35"/>
    <mergeCell ref="I34:I35"/>
    <mergeCell ref="A1:G1"/>
    <mergeCell ref="A2:G2"/>
    <mergeCell ref="F6:F7"/>
    <mergeCell ref="F11:F12"/>
    <mergeCell ref="F13:F14"/>
    <mergeCell ref="B104:C104"/>
    <mergeCell ref="A105:A106"/>
    <mergeCell ref="C105:C106"/>
    <mergeCell ref="E105:E106"/>
    <mergeCell ref="G105:G106"/>
    <mergeCell ref="B97:C97"/>
    <mergeCell ref="A98:A99"/>
    <mergeCell ref="B98:C98"/>
    <mergeCell ref="E98:E99"/>
    <mergeCell ref="G98:G99"/>
    <mergeCell ref="B99:C99"/>
    <mergeCell ref="A93:A94"/>
    <mergeCell ref="C93:C94"/>
    <mergeCell ref="E93:E94"/>
    <mergeCell ref="G93:G94"/>
    <mergeCell ref="G95:G96"/>
    <mergeCell ref="A95:A96"/>
    <mergeCell ref="C95:C96"/>
    <mergeCell ref="E95:E96"/>
    <mergeCell ref="A107:A108"/>
    <mergeCell ref="C107:C108"/>
    <mergeCell ref="E107:E108"/>
    <mergeCell ref="G107:G108"/>
    <mergeCell ref="B100:C100"/>
    <mergeCell ref="B101:C101"/>
    <mergeCell ref="A102:A103"/>
    <mergeCell ref="C102:C103"/>
    <mergeCell ref="E102:E103"/>
    <mergeCell ref="G102:G103"/>
    <mergeCell ref="F102:F103"/>
    <mergeCell ref="F105:F106"/>
    <mergeCell ref="F107:F108"/>
    <mergeCell ref="D102:D103"/>
    <mergeCell ref="D105:D106"/>
    <mergeCell ref="D107:D108"/>
    <mergeCell ref="B90:C90"/>
    <mergeCell ref="A91:A92"/>
    <mergeCell ref="C91:C92"/>
    <mergeCell ref="E91:E92"/>
    <mergeCell ref="G91:G92"/>
    <mergeCell ref="F91:F92"/>
    <mergeCell ref="A86:A87"/>
    <mergeCell ref="C86:C87"/>
    <mergeCell ref="E86:E87"/>
    <mergeCell ref="G86:G87"/>
    <mergeCell ref="A88:A89"/>
    <mergeCell ref="C88:C89"/>
    <mergeCell ref="E88:E89"/>
    <mergeCell ref="G88:G89"/>
    <mergeCell ref="F86:F87"/>
    <mergeCell ref="F88:F89"/>
    <mergeCell ref="D86:D87"/>
    <mergeCell ref="D88:D89"/>
    <mergeCell ref="D91:D92"/>
    <mergeCell ref="A82:A83"/>
    <mergeCell ref="C82:C83"/>
    <mergeCell ref="E82:E83"/>
    <mergeCell ref="G82:G83"/>
    <mergeCell ref="A84:A85"/>
    <mergeCell ref="B84:C84"/>
    <mergeCell ref="E84:E85"/>
    <mergeCell ref="G84:G85"/>
    <mergeCell ref="B85:C85"/>
    <mergeCell ref="F84:F85"/>
    <mergeCell ref="D82:D83"/>
    <mergeCell ref="D84:D85"/>
    <mergeCell ref="F82:F83"/>
    <mergeCell ref="B79:C79"/>
    <mergeCell ref="A80:A81"/>
    <mergeCell ref="B80:C80"/>
    <mergeCell ref="E80:E81"/>
    <mergeCell ref="G80:G81"/>
    <mergeCell ref="B81:C81"/>
    <mergeCell ref="A75:A76"/>
    <mergeCell ref="C75:C76"/>
    <mergeCell ref="E75:E76"/>
    <mergeCell ref="G75:G76"/>
    <mergeCell ref="A77:A78"/>
    <mergeCell ref="C77:C78"/>
    <mergeCell ref="E77:E78"/>
    <mergeCell ref="G77:G78"/>
    <mergeCell ref="D75:D76"/>
    <mergeCell ref="D77:D78"/>
    <mergeCell ref="D80:D81"/>
    <mergeCell ref="F75:F76"/>
    <mergeCell ref="F77:F78"/>
    <mergeCell ref="F80:F81"/>
    <mergeCell ref="B72:C72"/>
    <mergeCell ref="A73:A74"/>
    <mergeCell ref="B73:C73"/>
    <mergeCell ref="E73:E74"/>
    <mergeCell ref="G73:G74"/>
    <mergeCell ref="B74:C74"/>
    <mergeCell ref="A68:A69"/>
    <mergeCell ref="C68:C69"/>
    <mergeCell ref="E68:E69"/>
    <mergeCell ref="G68:G69"/>
    <mergeCell ref="A70:A71"/>
    <mergeCell ref="B70:C70"/>
    <mergeCell ref="E70:E71"/>
    <mergeCell ref="G70:G71"/>
    <mergeCell ref="B71:C71"/>
    <mergeCell ref="F68:F69"/>
    <mergeCell ref="D68:D69"/>
    <mergeCell ref="D70:D71"/>
    <mergeCell ref="D73:D74"/>
    <mergeCell ref="F70:F71"/>
    <mergeCell ref="F73:F74"/>
    <mergeCell ref="B64:C64"/>
    <mergeCell ref="B65:C65"/>
    <mergeCell ref="A66:A67"/>
    <mergeCell ref="C66:C67"/>
    <mergeCell ref="E66:E67"/>
    <mergeCell ref="G66:G67"/>
    <mergeCell ref="F66:F67"/>
    <mergeCell ref="B55:C55"/>
    <mergeCell ref="A62:A63"/>
    <mergeCell ref="C62:C63"/>
    <mergeCell ref="E62:E63"/>
    <mergeCell ref="G62:G63"/>
    <mergeCell ref="F62:F63"/>
    <mergeCell ref="D66:D67"/>
    <mergeCell ref="A52:A53"/>
    <mergeCell ref="C52:C53"/>
    <mergeCell ref="E52:E53"/>
    <mergeCell ref="G52:G53"/>
    <mergeCell ref="B54:C54"/>
    <mergeCell ref="B47:C47"/>
    <mergeCell ref="B48:C48"/>
    <mergeCell ref="B49:C49"/>
    <mergeCell ref="A50:A51"/>
    <mergeCell ref="C50:C51"/>
    <mergeCell ref="E50:E51"/>
    <mergeCell ref="F50:F51"/>
    <mergeCell ref="F52:F53"/>
    <mergeCell ref="A43:A44"/>
    <mergeCell ref="B43:C43"/>
    <mergeCell ref="E43:E44"/>
    <mergeCell ref="G43:G44"/>
    <mergeCell ref="B44:C44"/>
    <mergeCell ref="A45:A46"/>
    <mergeCell ref="C45:C46"/>
    <mergeCell ref="E45:E46"/>
    <mergeCell ref="G45:G46"/>
    <mergeCell ref="F45:F46"/>
    <mergeCell ref="F43:F44"/>
    <mergeCell ref="B38:C38"/>
    <mergeCell ref="A39:A40"/>
    <mergeCell ref="C39:C40"/>
    <mergeCell ref="E39:E40"/>
    <mergeCell ref="G39:G40"/>
    <mergeCell ref="A41:A42"/>
    <mergeCell ref="C41:C42"/>
    <mergeCell ref="E41:E42"/>
    <mergeCell ref="G41:G42"/>
    <mergeCell ref="F39:F40"/>
    <mergeCell ref="F41:F42"/>
    <mergeCell ref="A36:A37"/>
    <mergeCell ref="C36:C37"/>
    <mergeCell ref="E36:E37"/>
    <mergeCell ref="G36:G37"/>
    <mergeCell ref="A29:A30"/>
    <mergeCell ref="C29:C30"/>
    <mergeCell ref="E29:E30"/>
    <mergeCell ref="G29:G30"/>
    <mergeCell ref="B31:C31"/>
    <mergeCell ref="A32:A33"/>
    <mergeCell ref="C32:C33"/>
    <mergeCell ref="E32:E33"/>
    <mergeCell ref="G32:G33"/>
    <mergeCell ref="F29:F30"/>
    <mergeCell ref="F32:F33"/>
    <mergeCell ref="F34:F35"/>
    <mergeCell ref="F36:F37"/>
    <mergeCell ref="D29:D30"/>
    <mergeCell ref="D32:D33"/>
    <mergeCell ref="D34:D35"/>
    <mergeCell ref="A27:A28"/>
    <mergeCell ref="C27:C28"/>
    <mergeCell ref="E27:E28"/>
    <mergeCell ref="G27:G28"/>
    <mergeCell ref="F25:F26"/>
    <mergeCell ref="F27:F28"/>
    <mergeCell ref="D25:D26"/>
    <mergeCell ref="D27:D28"/>
    <mergeCell ref="A34:A35"/>
    <mergeCell ref="C34:C35"/>
    <mergeCell ref="E34:E35"/>
    <mergeCell ref="G34:G35"/>
    <mergeCell ref="A23:A24"/>
    <mergeCell ref="C23:C24"/>
    <mergeCell ref="E23:E24"/>
    <mergeCell ref="G23:G24"/>
    <mergeCell ref="F21:F22"/>
    <mergeCell ref="F23:F24"/>
    <mergeCell ref="A25:A26"/>
    <mergeCell ref="C25:C26"/>
    <mergeCell ref="E25:E26"/>
    <mergeCell ref="G25:G26"/>
    <mergeCell ref="C19:C20"/>
    <mergeCell ref="E19:E20"/>
    <mergeCell ref="G19:G20"/>
    <mergeCell ref="F17:F18"/>
    <mergeCell ref="F19:F20"/>
    <mergeCell ref="A21:A22"/>
    <mergeCell ref="C21:C22"/>
    <mergeCell ref="E21:E22"/>
    <mergeCell ref="G21:G22"/>
    <mergeCell ref="A19:A20"/>
    <mergeCell ref="A4:G4"/>
    <mergeCell ref="B5:C5"/>
    <mergeCell ref="A6:A7"/>
    <mergeCell ref="C6:C7"/>
    <mergeCell ref="E6:E7"/>
    <mergeCell ref="G6:G7"/>
    <mergeCell ref="A13:A14"/>
    <mergeCell ref="C13:C14"/>
    <mergeCell ref="E13:E14"/>
    <mergeCell ref="G13:G14"/>
    <mergeCell ref="A9:G9"/>
    <mergeCell ref="B10:C10"/>
    <mergeCell ref="A11:A12"/>
    <mergeCell ref="C11:C12"/>
    <mergeCell ref="E11:E12"/>
    <mergeCell ref="G11:G12"/>
    <mergeCell ref="A15:A16"/>
    <mergeCell ref="B15:C15"/>
    <mergeCell ref="E15:E16"/>
    <mergeCell ref="G15:G16"/>
    <mergeCell ref="B16:C16"/>
    <mergeCell ref="F15:F16"/>
    <mergeCell ref="A17:A18"/>
    <mergeCell ref="C17:C18"/>
    <mergeCell ref="E17:E18"/>
    <mergeCell ref="G17:G18"/>
    <mergeCell ref="H36:H37"/>
    <mergeCell ref="I36:I37"/>
    <mergeCell ref="H39:H40"/>
    <mergeCell ref="I39:I40"/>
    <mergeCell ref="I84:I85"/>
    <mergeCell ref="H62:H63"/>
    <mergeCell ref="I62:I63"/>
    <mergeCell ref="H66:H67"/>
    <mergeCell ref="I66:I67"/>
    <mergeCell ref="H68:H69"/>
    <mergeCell ref="I68:I69"/>
    <mergeCell ref="I70:I71"/>
    <mergeCell ref="H41:H42"/>
    <mergeCell ref="I41:I42"/>
    <mergeCell ref="H43:H44"/>
    <mergeCell ref="I43:I44"/>
    <mergeCell ref="H45:H46"/>
    <mergeCell ref="I45:I46"/>
    <mergeCell ref="H50:H51"/>
    <mergeCell ref="I50:I51"/>
    <mergeCell ref="H52:H53"/>
    <mergeCell ref="I52:I53"/>
    <mergeCell ref="H107:H108"/>
    <mergeCell ref="I107:I108"/>
    <mergeCell ref="H93:H94"/>
    <mergeCell ref="I93:I94"/>
    <mergeCell ref="H95:H96"/>
    <mergeCell ref="I95:I96"/>
    <mergeCell ref="H98:H99"/>
    <mergeCell ref="I98:I99"/>
    <mergeCell ref="H102:H103"/>
    <mergeCell ref="I102:I103"/>
    <mergeCell ref="H105:H106"/>
    <mergeCell ref="I105:I106"/>
    <mergeCell ref="H86:H87"/>
    <mergeCell ref="I86:I87"/>
    <mergeCell ref="H88:H89"/>
    <mergeCell ref="I88:I89"/>
    <mergeCell ref="H91:H92"/>
    <mergeCell ref="I91:I92"/>
    <mergeCell ref="H70:H71"/>
    <mergeCell ref="B56:C56"/>
    <mergeCell ref="B57:C57"/>
    <mergeCell ref="B58:C58"/>
    <mergeCell ref="B61:C61"/>
    <mergeCell ref="B59:C59"/>
    <mergeCell ref="B60:C60"/>
    <mergeCell ref="H73:H74"/>
    <mergeCell ref="I73:I74"/>
    <mergeCell ref="H75:H76"/>
    <mergeCell ref="I75:I76"/>
    <mergeCell ref="H77:H78"/>
    <mergeCell ref="I77:I78"/>
    <mergeCell ref="H80:H81"/>
    <mergeCell ref="I80:I81"/>
    <mergeCell ref="H82:H83"/>
    <mergeCell ref="I82:I83"/>
    <mergeCell ref="H84:H85"/>
  </mergeCells>
  <phoneticPr fontId="18" type="noConversion"/>
  <pageMargins left="0.511811024" right="0.511811024" top="0.78740157499999996" bottom="0.78740157499999996" header="0.31496062000000002" footer="0.31496062000000002"/>
  <pageSetup paperSize="9" scale="18" orientation="portrait" r:id="rId1"/>
  <rowBreaks count="2" manualBreakCount="2">
    <brk id="64" max="4" man="1"/>
    <brk id="78" max="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5">
    <tabColor rgb="FF2A5664"/>
    <pageSetUpPr fitToPage="1"/>
  </sheetPr>
  <dimension ref="A1:W85"/>
  <sheetViews>
    <sheetView showGridLines="0" zoomScale="70" zoomScaleNormal="70" zoomScaleSheetLayoutView="80" workbookViewId="0">
      <selection activeCell="D9" sqref="D9"/>
    </sheetView>
  </sheetViews>
  <sheetFormatPr defaultColWidth="9.109375" defaultRowHeight="25.8"/>
  <cols>
    <col min="1" max="1" width="29.88671875" style="112" bestFit="1" customWidth="1"/>
    <col min="2" max="2" width="13" style="112" bestFit="1" customWidth="1"/>
    <col min="3" max="3" width="41.6640625" style="112" customWidth="1"/>
    <col min="4" max="4" width="57" style="112" customWidth="1"/>
    <col min="5" max="7" width="20" style="112" customWidth="1"/>
    <col min="8" max="8" width="22.6640625" style="112" customWidth="1"/>
    <col min="9" max="9" width="26.33203125" style="112" customWidth="1"/>
    <col min="10" max="16" width="9.109375" style="112"/>
    <col min="17" max="17" width="31" style="112" customWidth="1"/>
    <col min="18" max="23" width="9.109375" style="112"/>
    <col min="24" max="16384" width="9.109375" style="128"/>
  </cols>
  <sheetData>
    <row r="1" spans="1:23" s="168" customFormat="1">
      <c r="A1" s="343" t="str">
        <f>'Indicadores e Metas'!A1</f>
        <v xml:space="preserve">CAU/UF:  </v>
      </c>
      <c r="B1" s="344"/>
      <c r="C1" s="344"/>
      <c r="D1" s="344"/>
      <c r="E1" s="344"/>
      <c r="F1" s="344"/>
      <c r="G1" s="344"/>
      <c r="H1" s="344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</row>
    <row r="2" spans="1:23" s="168" customFormat="1">
      <c r="A2" s="343" t="s">
        <v>374</v>
      </c>
      <c r="B2" s="344"/>
      <c r="C2" s="344"/>
      <c r="D2" s="344"/>
      <c r="E2" s="344"/>
      <c r="F2" s="344"/>
      <c r="G2" s="344"/>
      <c r="H2" s="344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1:23" s="149" customFormat="1">
      <c r="A3" s="169"/>
      <c r="B3" s="169"/>
      <c r="C3" s="169"/>
      <c r="D3" s="169"/>
      <c r="E3" s="169"/>
      <c r="F3" s="169"/>
      <c r="G3" s="169"/>
      <c r="H3" s="169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23" s="168" customFormat="1">
      <c r="A4" s="341" t="s">
        <v>48</v>
      </c>
      <c r="B4" s="342"/>
      <c r="C4" s="342"/>
      <c r="D4" s="342"/>
      <c r="E4" s="342"/>
      <c r="F4" s="342"/>
      <c r="G4" s="342"/>
      <c r="H4" s="342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</row>
    <row r="5" spans="1:23" s="168" customFormat="1" ht="26.25" customHeight="1" thickBot="1">
      <c r="A5" s="356" t="s">
        <v>1</v>
      </c>
      <c r="B5" s="352" t="s">
        <v>337</v>
      </c>
      <c r="C5" s="352" t="s">
        <v>2</v>
      </c>
      <c r="D5" s="352" t="s">
        <v>28</v>
      </c>
      <c r="E5" s="351" t="s">
        <v>375</v>
      </c>
      <c r="F5" s="351" t="s">
        <v>376</v>
      </c>
      <c r="G5" s="351" t="s">
        <v>377</v>
      </c>
      <c r="H5" s="175" t="s">
        <v>339</v>
      </c>
      <c r="I5" s="167"/>
      <c r="J5" s="194" t="s">
        <v>342</v>
      </c>
      <c r="K5" s="195"/>
      <c r="L5" s="195"/>
      <c r="M5" s="195"/>
      <c r="N5" s="195"/>
      <c r="O5" s="195"/>
      <c r="P5" s="195"/>
      <c r="Q5" s="196"/>
      <c r="R5" s="167"/>
      <c r="S5" s="167"/>
      <c r="T5" s="167"/>
      <c r="U5" s="167"/>
      <c r="V5" s="167"/>
      <c r="W5" s="167"/>
    </row>
    <row r="6" spans="1:23" s="168" customFormat="1" ht="48.75" customHeight="1">
      <c r="A6" s="357"/>
      <c r="B6" s="358"/>
      <c r="C6" s="358"/>
      <c r="D6" s="358"/>
      <c r="E6" s="352"/>
      <c r="F6" s="352"/>
      <c r="G6" s="352"/>
      <c r="H6" s="170" t="s">
        <v>343</v>
      </c>
      <c r="I6" s="167"/>
      <c r="J6" s="345" t="s">
        <v>390</v>
      </c>
      <c r="K6" s="345"/>
      <c r="L6" s="345"/>
      <c r="M6" s="345"/>
      <c r="N6" s="345"/>
      <c r="O6" s="345"/>
      <c r="P6" s="345"/>
      <c r="Q6" s="345"/>
      <c r="R6" s="167"/>
      <c r="S6" s="167"/>
      <c r="T6" s="167"/>
      <c r="U6" s="167"/>
      <c r="V6" s="167"/>
      <c r="W6" s="167"/>
    </row>
    <row r="7" spans="1:23" s="168" customFormat="1" ht="31.2">
      <c r="A7" s="9" t="s">
        <v>412</v>
      </c>
      <c r="B7" s="10" t="s">
        <v>227</v>
      </c>
      <c r="C7" s="6" t="s">
        <v>394</v>
      </c>
      <c r="D7" s="6" t="s">
        <v>15</v>
      </c>
      <c r="E7" s="7">
        <f>F7</f>
        <v>500016.14</v>
      </c>
      <c r="F7" s="7">
        <f>'EXEC CC'!E47</f>
        <v>500016.14</v>
      </c>
      <c r="G7" s="7">
        <f>'EXEC CC'!F47</f>
        <v>489034.41</v>
      </c>
      <c r="H7" s="122">
        <f>IFERROR(G7/F7*100,)</f>
        <v>97.803724895760354</v>
      </c>
      <c r="I7" s="167"/>
      <c r="J7" s="335"/>
      <c r="K7" s="335"/>
      <c r="L7" s="335"/>
      <c r="M7" s="335"/>
      <c r="N7" s="335"/>
      <c r="O7" s="335"/>
      <c r="P7" s="335"/>
      <c r="Q7" s="335"/>
      <c r="R7" s="167"/>
      <c r="S7" s="167"/>
      <c r="T7" s="167"/>
      <c r="U7" s="167"/>
      <c r="V7" s="167"/>
      <c r="W7" s="167"/>
    </row>
    <row r="8" spans="1:23" s="168" customFormat="1" ht="31.2">
      <c r="A8" s="9" t="s">
        <v>412</v>
      </c>
      <c r="B8" s="10" t="s">
        <v>227</v>
      </c>
      <c r="C8" s="6" t="s">
        <v>395</v>
      </c>
      <c r="D8" s="6" t="s">
        <v>24</v>
      </c>
      <c r="E8" s="7">
        <f t="shared" ref="E8:E24" si="0">F8</f>
        <v>379382.6</v>
      </c>
      <c r="F8" s="7">
        <f>'EXEC CC'!E39</f>
        <v>379382.6</v>
      </c>
      <c r="G8" s="7">
        <f>'EXEC CC'!F39</f>
        <v>332435.49</v>
      </c>
      <c r="H8" s="122">
        <f t="shared" ref="H8:H71" si="1">IFERROR(G8/F8*100,)</f>
        <v>87.625391886712777</v>
      </c>
      <c r="I8" s="167"/>
      <c r="J8" s="335"/>
      <c r="K8" s="335"/>
      <c r="L8" s="335"/>
      <c r="M8" s="335"/>
      <c r="N8" s="335"/>
      <c r="O8" s="335"/>
      <c r="P8" s="335"/>
      <c r="Q8" s="335"/>
      <c r="R8" s="167"/>
      <c r="S8" s="167"/>
      <c r="T8" s="167"/>
      <c r="U8" s="167"/>
      <c r="V8" s="167"/>
      <c r="W8" s="167"/>
    </row>
    <row r="9" spans="1:23" s="168" customFormat="1" ht="31.2">
      <c r="A9" s="9" t="s">
        <v>413</v>
      </c>
      <c r="B9" s="10" t="s">
        <v>227</v>
      </c>
      <c r="C9" s="6" t="s">
        <v>396</v>
      </c>
      <c r="D9" s="6" t="s">
        <v>20</v>
      </c>
      <c r="E9" s="7">
        <f t="shared" si="0"/>
        <v>41160.720000000001</v>
      </c>
      <c r="F9" s="7">
        <f>'EXEC CC'!E21</f>
        <v>41160.720000000001</v>
      </c>
      <c r="G9" s="7">
        <f>'EXEC CC'!F21</f>
        <v>41084.410000000003</v>
      </c>
      <c r="H9" s="122">
        <f t="shared" si="1"/>
        <v>99.814604797972436</v>
      </c>
      <c r="I9" s="167"/>
      <c r="J9" s="335"/>
      <c r="K9" s="335"/>
      <c r="L9" s="335"/>
      <c r="M9" s="335"/>
      <c r="N9" s="335"/>
      <c r="O9" s="335"/>
      <c r="P9" s="335"/>
      <c r="Q9" s="335"/>
      <c r="R9" s="193"/>
      <c r="S9" s="167"/>
      <c r="T9" s="167"/>
      <c r="U9" s="167"/>
      <c r="V9" s="167"/>
      <c r="W9" s="167"/>
    </row>
    <row r="10" spans="1:23" s="168" customFormat="1" ht="31.2">
      <c r="A10" s="9" t="s">
        <v>412</v>
      </c>
      <c r="B10" s="10" t="s">
        <v>227</v>
      </c>
      <c r="C10" s="6" t="s">
        <v>397</v>
      </c>
      <c r="D10" s="6" t="s">
        <v>82</v>
      </c>
      <c r="E10" s="7">
        <f t="shared" si="0"/>
        <v>224701.55</v>
      </c>
      <c r="F10" s="7">
        <f>'EXEC CC'!E49</f>
        <v>224701.55</v>
      </c>
      <c r="G10" s="7">
        <f>'EXEC CC'!F49</f>
        <v>222540.32</v>
      </c>
      <c r="H10" s="122">
        <f t="shared" si="1"/>
        <v>99.03817752926048</v>
      </c>
      <c r="I10" s="167"/>
      <c r="J10" s="335"/>
      <c r="K10" s="335"/>
      <c r="L10" s="335"/>
      <c r="M10" s="335"/>
      <c r="N10" s="335"/>
      <c r="O10" s="335"/>
      <c r="P10" s="335"/>
      <c r="Q10" s="335"/>
      <c r="R10" s="167"/>
      <c r="S10" s="167"/>
      <c r="T10" s="167"/>
      <c r="U10" s="167"/>
      <c r="V10" s="167"/>
      <c r="W10" s="167"/>
    </row>
    <row r="11" spans="1:23" s="168" customFormat="1" ht="31.2">
      <c r="A11" s="9" t="s">
        <v>413</v>
      </c>
      <c r="B11" s="10" t="s">
        <v>227</v>
      </c>
      <c r="C11" s="6" t="s">
        <v>398</v>
      </c>
      <c r="D11" s="6" t="s">
        <v>88</v>
      </c>
      <c r="E11" s="7">
        <f t="shared" si="0"/>
        <v>7800</v>
      </c>
      <c r="F11" s="7">
        <f>'EXEC CC'!E17</f>
        <v>7800</v>
      </c>
      <c r="G11" s="7">
        <f>'EXEC CC'!F17</f>
        <v>4654.09</v>
      </c>
      <c r="H11" s="122">
        <f t="shared" si="1"/>
        <v>59.667820512820512</v>
      </c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</row>
    <row r="12" spans="1:23" s="168" customFormat="1" ht="31.2">
      <c r="A12" s="9" t="s">
        <v>412</v>
      </c>
      <c r="B12" s="10" t="s">
        <v>227</v>
      </c>
      <c r="C12" s="6" t="s">
        <v>399</v>
      </c>
      <c r="D12" s="6" t="s">
        <v>15</v>
      </c>
      <c r="E12" s="7">
        <f t="shared" si="0"/>
        <v>88109.46</v>
      </c>
      <c r="F12" s="7">
        <f>'EXEC CC'!E51</f>
        <v>88109.46</v>
      </c>
      <c r="G12" s="7">
        <f>'EXEC CC'!F51</f>
        <v>88109.46</v>
      </c>
      <c r="H12" s="122">
        <f t="shared" si="1"/>
        <v>100</v>
      </c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</row>
    <row r="13" spans="1:23" s="168" customFormat="1" ht="31.2">
      <c r="A13" s="9" t="s">
        <v>412</v>
      </c>
      <c r="B13" s="10" t="s">
        <v>227</v>
      </c>
      <c r="C13" s="6" t="s">
        <v>400</v>
      </c>
      <c r="D13" s="6" t="s">
        <v>82</v>
      </c>
      <c r="E13" s="7">
        <f t="shared" si="0"/>
        <v>11461.8</v>
      </c>
      <c r="F13" s="7">
        <f>'EXEC CC'!E53</f>
        <v>11461.8</v>
      </c>
      <c r="G13" s="7">
        <f>'EXEC CC'!F53</f>
        <v>11461.8</v>
      </c>
      <c r="H13" s="122">
        <f t="shared" si="1"/>
        <v>100</v>
      </c>
      <c r="I13" s="167"/>
      <c r="J13" s="167"/>
      <c r="K13" s="167" t="s">
        <v>393</v>
      </c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</row>
    <row r="14" spans="1:23" s="168" customFormat="1" ht="31.2">
      <c r="A14" s="9" t="s">
        <v>412</v>
      </c>
      <c r="B14" s="10" t="s">
        <v>227</v>
      </c>
      <c r="C14" s="6" t="s">
        <v>401</v>
      </c>
      <c r="D14" s="6" t="s">
        <v>23</v>
      </c>
      <c r="E14" s="7">
        <f t="shared" si="0"/>
        <v>4085.64</v>
      </c>
      <c r="F14" s="7">
        <f>'EXEC CC'!E43</f>
        <v>4085.64</v>
      </c>
      <c r="G14" s="7">
        <f>'EXEC CC'!F43</f>
        <v>4085.64</v>
      </c>
      <c r="H14" s="122">
        <f t="shared" si="1"/>
        <v>100</v>
      </c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</row>
    <row r="15" spans="1:23" s="168" customFormat="1" ht="31.2">
      <c r="A15" s="9" t="s">
        <v>412</v>
      </c>
      <c r="B15" s="10" t="s">
        <v>227</v>
      </c>
      <c r="C15" s="6" t="s">
        <v>402</v>
      </c>
      <c r="D15" s="6" t="s">
        <v>23</v>
      </c>
      <c r="E15" s="7">
        <f t="shared" si="0"/>
        <v>17311.75</v>
      </c>
      <c r="F15" s="7">
        <f>'EXEC CC'!E41</f>
        <v>17311.75</v>
      </c>
      <c r="G15" s="7">
        <f>'EXEC CC'!F41</f>
        <v>17311.75</v>
      </c>
      <c r="H15" s="122">
        <f t="shared" si="1"/>
        <v>100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</row>
    <row r="16" spans="1:23" s="168" customFormat="1">
      <c r="A16" s="9" t="s">
        <v>413</v>
      </c>
      <c r="B16" s="10" t="s">
        <v>227</v>
      </c>
      <c r="C16" s="6" t="s">
        <v>403</v>
      </c>
      <c r="D16" s="6" t="s">
        <v>24</v>
      </c>
      <c r="E16" s="7">
        <f t="shared" si="0"/>
        <v>14440</v>
      </c>
      <c r="F16" s="7">
        <f>'EXEC CC'!E19</f>
        <v>14440</v>
      </c>
      <c r="G16" s="7">
        <f>'EXEC CC'!F19</f>
        <v>12751.26</v>
      </c>
      <c r="H16" s="122">
        <f t="shared" si="1"/>
        <v>88.305124653739611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</row>
    <row r="17" spans="1:23" s="168" customFormat="1">
      <c r="A17" s="9" t="s">
        <v>413</v>
      </c>
      <c r="B17" s="10" t="s">
        <v>227</v>
      </c>
      <c r="C17" s="6" t="s">
        <v>404</v>
      </c>
      <c r="D17" s="6" t="s">
        <v>21</v>
      </c>
      <c r="E17" s="7">
        <f t="shared" si="0"/>
        <v>106504.06</v>
      </c>
      <c r="F17" s="7">
        <f>'EXEC CC'!E23</f>
        <v>106504.06</v>
      </c>
      <c r="G17" s="7">
        <f>'EXEC CC'!F23</f>
        <v>56569.35</v>
      </c>
      <c r="H17" s="122">
        <f t="shared" si="1"/>
        <v>53.11473571993406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</row>
    <row r="18" spans="1:23" s="168" customFormat="1" ht="46.8">
      <c r="A18" s="9" t="s">
        <v>413</v>
      </c>
      <c r="B18" s="10" t="s">
        <v>227</v>
      </c>
      <c r="C18" s="6" t="s">
        <v>405</v>
      </c>
      <c r="D18" s="6" t="s">
        <v>17</v>
      </c>
      <c r="E18" s="7">
        <f t="shared" si="0"/>
        <v>10000</v>
      </c>
      <c r="F18" s="7">
        <f>'EXEC CC'!E27</f>
        <v>10000</v>
      </c>
      <c r="G18" s="7">
        <f>'EXEC CC'!F27</f>
        <v>9433.5499999999993</v>
      </c>
      <c r="H18" s="122">
        <f t="shared" si="1"/>
        <v>94.335499999999996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</row>
    <row r="19" spans="1:23" s="168" customFormat="1">
      <c r="A19" s="9" t="s">
        <v>413</v>
      </c>
      <c r="B19" s="10" t="s">
        <v>227</v>
      </c>
      <c r="C19" s="6" t="s">
        <v>406</v>
      </c>
      <c r="D19" s="6" t="s">
        <v>23</v>
      </c>
      <c r="E19" s="7">
        <f t="shared" si="0"/>
        <v>2000</v>
      </c>
      <c r="F19" s="7">
        <f>'EXEC CC'!E25</f>
        <v>2000</v>
      </c>
      <c r="G19" s="7">
        <f>'EXEC CC'!F25</f>
        <v>2000</v>
      </c>
      <c r="H19" s="122">
        <f t="shared" si="1"/>
        <v>100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</row>
    <row r="20" spans="1:23" s="168" customFormat="1">
      <c r="A20" s="9" t="s">
        <v>413</v>
      </c>
      <c r="B20" s="10" t="s">
        <v>226</v>
      </c>
      <c r="C20" s="6" t="s">
        <v>407</v>
      </c>
      <c r="D20" s="6" t="s">
        <v>25</v>
      </c>
      <c r="E20" s="7">
        <f t="shared" si="0"/>
        <v>24000</v>
      </c>
      <c r="F20" s="7">
        <f>'EXEC CC'!E29</f>
        <v>24000</v>
      </c>
      <c r="G20" s="7">
        <f>'EXEC CC'!F29</f>
        <v>24000</v>
      </c>
      <c r="H20" s="122">
        <f t="shared" si="1"/>
        <v>100</v>
      </c>
      <c r="I20" s="27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</row>
    <row r="21" spans="1:23" s="168" customFormat="1" ht="31.2">
      <c r="A21" s="9" t="s">
        <v>413</v>
      </c>
      <c r="B21" s="10" t="s">
        <v>226</v>
      </c>
      <c r="C21" s="6" t="s">
        <v>408</v>
      </c>
      <c r="D21" s="6" t="s">
        <v>22</v>
      </c>
      <c r="E21" s="7">
        <f t="shared" si="0"/>
        <v>26796.11</v>
      </c>
      <c r="F21" s="7">
        <f>'EXEC CC'!E31</f>
        <v>26796.11</v>
      </c>
      <c r="G21" s="7">
        <f>'EXEC CC'!F31</f>
        <v>26796.11</v>
      </c>
      <c r="H21" s="122">
        <f t="shared" si="1"/>
        <v>100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</row>
    <row r="22" spans="1:23" s="168" customFormat="1" ht="31.2">
      <c r="A22" s="9" t="s">
        <v>413</v>
      </c>
      <c r="B22" s="10" t="s">
        <v>228</v>
      </c>
      <c r="C22" s="6" t="s">
        <v>409</v>
      </c>
      <c r="D22" s="6" t="s">
        <v>22</v>
      </c>
      <c r="E22" s="7">
        <f t="shared" si="0"/>
        <v>124500</v>
      </c>
      <c r="F22" s="7">
        <f>'EXEC CC'!E33</f>
        <v>124500</v>
      </c>
      <c r="G22" s="7">
        <f>'EXEC CC'!F33</f>
        <v>453.89</v>
      </c>
      <c r="H22" s="122">
        <f t="shared" si="1"/>
        <v>0.36457028112449796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</row>
    <row r="23" spans="1:23" s="168" customFormat="1" ht="46.8">
      <c r="A23" s="9" t="s">
        <v>413</v>
      </c>
      <c r="B23" s="10" t="s">
        <v>226</v>
      </c>
      <c r="C23" s="6" t="s">
        <v>410</v>
      </c>
      <c r="D23" s="6" t="s">
        <v>27</v>
      </c>
      <c r="E23" s="7">
        <f t="shared" si="0"/>
        <v>735000</v>
      </c>
      <c r="F23" s="7">
        <f>'EXEC CC'!E37</f>
        <v>735000</v>
      </c>
      <c r="G23" s="7">
        <f>'EXEC CC'!F37</f>
        <v>607595.31000000006</v>
      </c>
      <c r="H23" s="122">
        <f t="shared" si="1"/>
        <v>82.666028571428569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</row>
    <row r="24" spans="1:23" s="168" customFormat="1" ht="46.8">
      <c r="A24" s="9" t="s">
        <v>413</v>
      </c>
      <c r="B24" s="10" t="s">
        <v>226</v>
      </c>
      <c r="C24" s="6" t="s">
        <v>411</v>
      </c>
      <c r="D24" s="6" t="s">
        <v>27</v>
      </c>
      <c r="E24" s="7">
        <f t="shared" si="0"/>
        <v>30000</v>
      </c>
      <c r="F24" s="7">
        <f>'EXEC CC'!E45</f>
        <v>30000</v>
      </c>
      <c r="G24" s="7">
        <f>'EXEC CC'!F45</f>
        <v>4615</v>
      </c>
      <c r="H24" s="122">
        <f t="shared" si="1"/>
        <v>15.383333333333333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</row>
    <row r="25" spans="1:23" s="168" customFormat="1" hidden="1">
      <c r="A25" s="9"/>
      <c r="B25" s="10"/>
      <c r="C25" s="6"/>
      <c r="D25" s="6"/>
      <c r="E25" s="7">
        <v>0</v>
      </c>
      <c r="F25" s="7">
        <v>0</v>
      </c>
      <c r="G25" s="7">
        <v>0</v>
      </c>
      <c r="H25" s="122">
        <f t="shared" si="1"/>
        <v>0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</row>
    <row r="26" spans="1:23" s="168" customFormat="1" hidden="1">
      <c r="A26" s="9"/>
      <c r="B26" s="10"/>
      <c r="C26" s="6"/>
      <c r="D26" s="6"/>
      <c r="E26" s="7">
        <v>0</v>
      </c>
      <c r="F26" s="7">
        <v>0</v>
      </c>
      <c r="G26" s="7">
        <v>0</v>
      </c>
      <c r="H26" s="122">
        <f t="shared" si="1"/>
        <v>0</v>
      </c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</row>
    <row r="27" spans="1:23" s="168" customFormat="1" hidden="1">
      <c r="A27" s="9"/>
      <c r="B27" s="10"/>
      <c r="C27" s="6"/>
      <c r="D27" s="6"/>
      <c r="E27" s="7">
        <v>0</v>
      </c>
      <c r="F27" s="7">
        <v>0</v>
      </c>
      <c r="G27" s="7">
        <v>0</v>
      </c>
      <c r="H27" s="122">
        <f t="shared" si="1"/>
        <v>0</v>
      </c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</row>
    <row r="28" spans="1:23" s="168" customFormat="1" hidden="1">
      <c r="A28" s="9"/>
      <c r="B28" s="10"/>
      <c r="C28" s="6"/>
      <c r="D28" s="6"/>
      <c r="E28" s="7">
        <v>0</v>
      </c>
      <c r="F28" s="7">
        <v>0</v>
      </c>
      <c r="G28" s="7">
        <v>0</v>
      </c>
      <c r="H28" s="122">
        <f t="shared" si="1"/>
        <v>0</v>
      </c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</row>
    <row r="29" spans="1:23" s="168" customFormat="1" hidden="1">
      <c r="A29" s="9"/>
      <c r="B29" s="10"/>
      <c r="C29" s="6"/>
      <c r="D29" s="6"/>
      <c r="E29" s="7">
        <v>0</v>
      </c>
      <c r="F29" s="7">
        <v>0</v>
      </c>
      <c r="G29" s="7">
        <v>0</v>
      </c>
      <c r="H29" s="122">
        <f t="shared" si="1"/>
        <v>0</v>
      </c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</row>
    <row r="30" spans="1:23" s="168" customFormat="1" hidden="1">
      <c r="A30" s="9"/>
      <c r="B30" s="10"/>
      <c r="C30" s="6"/>
      <c r="D30" s="6"/>
      <c r="E30" s="7">
        <v>0</v>
      </c>
      <c r="F30" s="7">
        <v>0</v>
      </c>
      <c r="G30" s="7">
        <v>0</v>
      </c>
      <c r="H30" s="122">
        <f t="shared" si="1"/>
        <v>0</v>
      </c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</row>
    <row r="31" spans="1:23" s="168" customFormat="1" hidden="1">
      <c r="A31" s="9"/>
      <c r="B31" s="10"/>
      <c r="C31" s="6"/>
      <c r="D31" s="6"/>
      <c r="E31" s="7">
        <v>0</v>
      </c>
      <c r="F31" s="7">
        <v>0</v>
      </c>
      <c r="G31" s="7">
        <v>0</v>
      </c>
      <c r="H31" s="122">
        <f t="shared" si="1"/>
        <v>0</v>
      </c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</row>
    <row r="32" spans="1:23" s="168" customFormat="1" hidden="1">
      <c r="A32" s="9"/>
      <c r="B32" s="10"/>
      <c r="C32" s="6"/>
      <c r="D32" s="6"/>
      <c r="E32" s="7">
        <v>0</v>
      </c>
      <c r="F32" s="7">
        <v>0</v>
      </c>
      <c r="G32" s="7">
        <v>0</v>
      </c>
      <c r="H32" s="122">
        <f t="shared" si="1"/>
        <v>0</v>
      </c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</row>
    <row r="33" spans="1:23" s="168" customFormat="1" hidden="1">
      <c r="A33" s="9"/>
      <c r="B33" s="10"/>
      <c r="C33" s="6"/>
      <c r="D33" s="6"/>
      <c r="E33" s="7">
        <v>0</v>
      </c>
      <c r="F33" s="7">
        <v>0</v>
      </c>
      <c r="G33" s="7">
        <v>0</v>
      </c>
      <c r="H33" s="122">
        <f t="shared" si="1"/>
        <v>0</v>
      </c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</row>
    <row r="34" spans="1:23" s="168" customFormat="1" hidden="1">
      <c r="A34" s="9"/>
      <c r="B34" s="10"/>
      <c r="C34" s="6"/>
      <c r="D34" s="6"/>
      <c r="E34" s="7">
        <v>0</v>
      </c>
      <c r="F34" s="7">
        <v>0</v>
      </c>
      <c r="G34" s="7">
        <v>0</v>
      </c>
      <c r="H34" s="122">
        <f t="shared" si="1"/>
        <v>0</v>
      </c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</row>
    <row r="35" spans="1:23" s="168" customFormat="1" hidden="1">
      <c r="A35" s="9"/>
      <c r="B35" s="10"/>
      <c r="C35" s="6"/>
      <c r="D35" s="6"/>
      <c r="E35" s="7">
        <v>0</v>
      </c>
      <c r="F35" s="7">
        <v>0</v>
      </c>
      <c r="G35" s="7">
        <v>0</v>
      </c>
      <c r="H35" s="122">
        <f t="shared" si="1"/>
        <v>0</v>
      </c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</row>
    <row r="36" spans="1:23" s="168" customFormat="1" hidden="1">
      <c r="A36" s="9"/>
      <c r="B36" s="10"/>
      <c r="C36" s="6"/>
      <c r="D36" s="6"/>
      <c r="E36" s="7">
        <v>0</v>
      </c>
      <c r="F36" s="7">
        <v>0</v>
      </c>
      <c r="G36" s="7">
        <v>0</v>
      </c>
      <c r="H36" s="122">
        <f t="shared" si="1"/>
        <v>0</v>
      </c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</row>
    <row r="37" spans="1:23" s="168" customFormat="1" hidden="1">
      <c r="A37" s="9"/>
      <c r="B37" s="10"/>
      <c r="C37" s="6"/>
      <c r="D37" s="6"/>
      <c r="E37" s="7">
        <v>0</v>
      </c>
      <c r="F37" s="7">
        <v>0</v>
      </c>
      <c r="G37" s="7">
        <v>0</v>
      </c>
      <c r="H37" s="122">
        <f t="shared" si="1"/>
        <v>0</v>
      </c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</row>
    <row r="38" spans="1:23" s="168" customFormat="1" hidden="1">
      <c r="A38" s="9"/>
      <c r="B38" s="10"/>
      <c r="C38" s="6"/>
      <c r="D38" s="6"/>
      <c r="E38" s="7">
        <v>0</v>
      </c>
      <c r="F38" s="7">
        <v>0</v>
      </c>
      <c r="G38" s="7">
        <v>0</v>
      </c>
      <c r="H38" s="122">
        <f t="shared" si="1"/>
        <v>0</v>
      </c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</row>
    <row r="39" spans="1:23" s="168" customFormat="1" hidden="1">
      <c r="A39" s="9"/>
      <c r="B39" s="10"/>
      <c r="C39" s="6"/>
      <c r="D39" s="6"/>
      <c r="E39" s="7">
        <v>0</v>
      </c>
      <c r="F39" s="7">
        <v>0</v>
      </c>
      <c r="G39" s="7">
        <v>0</v>
      </c>
      <c r="H39" s="122">
        <f t="shared" si="1"/>
        <v>0</v>
      </c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</row>
    <row r="40" spans="1:23" s="168" customFormat="1" hidden="1">
      <c r="A40" s="9"/>
      <c r="B40" s="10"/>
      <c r="C40" s="6"/>
      <c r="D40" s="6"/>
      <c r="E40" s="7">
        <v>0</v>
      </c>
      <c r="F40" s="7">
        <v>0</v>
      </c>
      <c r="G40" s="7">
        <v>0</v>
      </c>
      <c r="H40" s="122">
        <f t="shared" si="1"/>
        <v>0</v>
      </c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</row>
    <row r="41" spans="1:23" s="168" customFormat="1" hidden="1">
      <c r="A41" s="9"/>
      <c r="B41" s="10"/>
      <c r="C41" s="6"/>
      <c r="D41" s="6"/>
      <c r="E41" s="7">
        <v>0</v>
      </c>
      <c r="F41" s="7">
        <v>0</v>
      </c>
      <c r="G41" s="7">
        <v>0</v>
      </c>
      <c r="H41" s="122">
        <f t="shared" si="1"/>
        <v>0</v>
      </c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</row>
    <row r="42" spans="1:23" s="168" customFormat="1" hidden="1">
      <c r="A42" s="9"/>
      <c r="B42" s="10"/>
      <c r="C42" s="6"/>
      <c r="D42" s="6"/>
      <c r="E42" s="7">
        <v>0</v>
      </c>
      <c r="F42" s="7">
        <v>0</v>
      </c>
      <c r="G42" s="7">
        <v>0</v>
      </c>
      <c r="H42" s="122">
        <f t="shared" si="1"/>
        <v>0</v>
      </c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</row>
    <row r="43" spans="1:23" s="168" customFormat="1" hidden="1">
      <c r="A43" s="9"/>
      <c r="B43" s="10"/>
      <c r="C43" s="6"/>
      <c r="D43" s="6"/>
      <c r="E43" s="7">
        <v>0</v>
      </c>
      <c r="F43" s="7">
        <v>0</v>
      </c>
      <c r="G43" s="7">
        <v>0</v>
      </c>
      <c r="H43" s="122">
        <f t="shared" si="1"/>
        <v>0</v>
      </c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</row>
    <row r="44" spans="1:23" s="168" customFormat="1" hidden="1">
      <c r="A44" s="9"/>
      <c r="B44" s="10"/>
      <c r="C44" s="6"/>
      <c r="D44" s="6"/>
      <c r="E44" s="7">
        <v>0</v>
      </c>
      <c r="F44" s="7">
        <v>0</v>
      </c>
      <c r="G44" s="7">
        <v>0</v>
      </c>
      <c r="H44" s="122">
        <f t="shared" si="1"/>
        <v>0</v>
      </c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</row>
    <row r="45" spans="1:23" s="168" customFormat="1" hidden="1">
      <c r="A45" s="9"/>
      <c r="B45" s="10"/>
      <c r="C45" s="6"/>
      <c r="D45" s="6"/>
      <c r="E45" s="7">
        <v>0</v>
      </c>
      <c r="F45" s="7">
        <v>0</v>
      </c>
      <c r="G45" s="7">
        <v>0</v>
      </c>
      <c r="H45" s="122">
        <f t="shared" si="1"/>
        <v>0</v>
      </c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</row>
    <row r="46" spans="1:23" s="168" customFormat="1" hidden="1">
      <c r="A46" s="9"/>
      <c r="B46" s="10"/>
      <c r="C46" s="6"/>
      <c r="D46" s="6"/>
      <c r="E46" s="7">
        <v>0</v>
      </c>
      <c r="F46" s="7">
        <v>0</v>
      </c>
      <c r="G46" s="7">
        <v>0</v>
      </c>
      <c r="H46" s="122">
        <f t="shared" si="1"/>
        <v>0</v>
      </c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</row>
    <row r="47" spans="1:23" s="168" customFormat="1" hidden="1">
      <c r="A47" s="9"/>
      <c r="B47" s="10"/>
      <c r="C47" s="6"/>
      <c r="D47" s="6"/>
      <c r="E47" s="7">
        <v>0</v>
      </c>
      <c r="F47" s="7">
        <v>0</v>
      </c>
      <c r="G47" s="7">
        <v>0</v>
      </c>
      <c r="H47" s="122">
        <f t="shared" si="1"/>
        <v>0</v>
      </c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</row>
    <row r="48" spans="1:23" s="168" customFormat="1" hidden="1">
      <c r="A48" s="9"/>
      <c r="B48" s="10"/>
      <c r="C48" s="6"/>
      <c r="D48" s="6"/>
      <c r="E48" s="7">
        <v>0</v>
      </c>
      <c r="F48" s="7">
        <v>0</v>
      </c>
      <c r="G48" s="7">
        <v>0</v>
      </c>
      <c r="H48" s="122">
        <f t="shared" si="1"/>
        <v>0</v>
      </c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</row>
    <row r="49" spans="1:23" s="168" customFormat="1" hidden="1">
      <c r="A49" s="9"/>
      <c r="B49" s="10"/>
      <c r="C49" s="6"/>
      <c r="D49" s="6"/>
      <c r="E49" s="7">
        <v>0</v>
      </c>
      <c r="F49" s="7">
        <v>0</v>
      </c>
      <c r="G49" s="7">
        <v>0</v>
      </c>
      <c r="H49" s="122">
        <f t="shared" si="1"/>
        <v>0</v>
      </c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</row>
    <row r="50" spans="1:23" s="168" customFormat="1" hidden="1">
      <c r="A50" s="9"/>
      <c r="B50" s="10"/>
      <c r="C50" s="6"/>
      <c r="D50" s="6"/>
      <c r="E50" s="7">
        <v>0</v>
      </c>
      <c r="F50" s="7">
        <v>0</v>
      </c>
      <c r="G50" s="7">
        <v>0</v>
      </c>
      <c r="H50" s="122">
        <f t="shared" si="1"/>
        <v>0</v>
      </c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</row>
    <row r="51" spans="1:23" s="168" customFormat="1" hidden="1">
      <c r="A51" s="9"/>
      <c r="B51" s="10"/>
      <c r="C51" s="6"/>
      <c r="D51" s="6"/>
      <c r="E51" s="7">
        <v>0</v>
      </c>
      <c r="F51" s="7">
        <v>0</v>
      </c>
      <c r="G51" s="7">
        <v>0</v>
      </c>
      <c r="H51" s="122">
        <f t="shared" si="1"/>
        <v>0</v>
      </c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</row>
    <row r="52" spans="1:23" s="168" customFormat="1" hidden="1">
      <c r="A52" s="9"/>
      <c r="B52" s="10"/>
      <c r="C52" s="6"/>
      <c r="D52" s="6"/>
      <c r="E52" s="7">
        <v>0</v>
      </c>
      <c r="F52" s="7">
        <v>0</v>
      </c>
      <c r="G52" s="7">
        <v>0</v>
      </c>
      <c r="H52" s="122">
        <f t="shared" si="1"/>
        <v>0</v>
      </c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</row>
    <row r="53" spans="1:23" s="168" customFormat="1" hidden="1">
      <c r="A53" s="9"/>
      <c r="B53" s="10"/>
      <c r="C53" s="6"/>
      <c r="D53" s="6"/>
      <c r="E53" s="7">
        <v>0</v>
      </c>
      <c r="F53" s="7">
        <v>0</v>
      </c>
      <c r="G53" s="7">
        <v>0</v>
      </c>
      <c r="H53" s="122">
        <f t="shared" si="1"/>
        <v>0</v>
      </c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</row>
    <row r="54" spans="1:23" s="168" customFormat="1" hidden="1">
      <c r="A54" s="9"/>
      <c r="B54" s="10"/>
      <c r="C54" s="6"/>
      <c r="D54" s="6"/>
      <c r="E54" s="7">
        <v>0</v>
      </c>
      <c r="F54" s="7">
        <v>0</v>
      </c>
      <c r="G54" s="7">
        <v>0</v>
      </c>
      <c r="H54" s="122">
        <f t="shared" si="1"/>
        <v>0</v>
      </c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</row>
    <row r="55" spans="1:23" s="168" customFormat="1" hidden="1">
      <c r="A55" s="9"/>
      <c r="B55" s="10"/>
      <c r="C55" s="6"/>
      <c r="D55" s="6"/>
      <c r="E55" s="7">
        <v>0</v>
      </c>
      <c r="F55" s="7">
        <v>0</v>
      </c>
      <c r="G55" s="7">
        <v>0</v>
      </c>
      <c r="H55" s="122">
        <f t="shared" si="1"/>
        <v>0</v>
      </c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</row>
    <row r="56" spans="1:23" s="168" customFormat="1" hidden="1">
      <c r="A56" s="9"/>
      <c r="B56" s="10"/>
      <c r="C56" s="6"/>
      <c r="D56" s="6"/>
      <c r="E56" s="7">
        <v>0</v>
      </c>
      <c r="F56" s="7">
        <v>0</v>
      </c>
      <c r="G56" s="7">
        <v>0</v>
      </c>
      <c r="H56" s="122">
        <f t="shared" si="1"/>
        <v>0</v>
      </c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</row>
    <row r="57" spans="1:23" s="168" customFormat="1" hidden="1">
      <c r="A57" s="9"/>
      <c r="B57" s="10"/>
      <c r="C57" s="6"/>
      <c r="D57" s="6"/>
      <c r="E57" s="7">
        <v>0</v>
      </c>
      <c r="F57" s="7">
        <v>0</v>
      </c>
      <c r="G57" s="7">
        <v>0</v>
      </c>
      <c r="H57" s="122">
        <f t="shared" si="1"/>
        <v>0</v>
      </c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</row>
    <row r="58" spans="1:23" s="168" customFormat="1" hidden="1">
      <c r="A58" s="9"/>
      <c r="B58" s="10"/>
      <c r="C58" s="6"/>
      <c r="D58" s="6"/>
      <c r="E58" s="7">
        <v>0</v>
      </c>
      <c r="F58" s="7">
        <v>0</v>
      </c>
      <c r="G58" s="7">
        <v>0</v>
      </c>
      <c r="H58" s="122">
        <f t="shared" si="1"/>
        <v>0</v>
      </c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</row>
    <row r="59" spans="1:23" s="168" customFormat="1" hidden="1">
      <c r="A59" s="9"/>
      <c r="B59" s="10"/>
      <c r="C59" s="6"/>
      <c r="D59" s="6"/>
      <c r="E59" s="7">
        <v>0</v>
      </c>
      <c r="F59" s="7">
        <v>0</v>
      </c>
      <c r="G59" s="7">
        <v>0</v>
      </c>
      <c r="H59" s="122">
        <f t="shared" si="1"/>
        <v>0</v>
      </c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</row>
    <row r="60" spans="1:23" s="168" customFormat="1" hidden="1">
      <c r="A60" s="9"/>
      <c r="B60" s="10"/>
      <c r="C60" s="6"/>
      <c r="D60" s="6"/>
      <c r="E60" s="7">
        <v>0</v>
      </c>
      <c r="F60" s="7">
        <v>0</v>
      </c>
      <c r="G60" s="7">
        <v>0</v>
      </c>
      <c r="H60" s="122">
        <f t="shared" si="1"/>
        <v>0</v>
      </c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</row>
    <row r="61" spans="1:23" s="168" customFormat="1" hidden="1">
      <c r="A61" s="9"/>
      <c r="B61" s="10"/>
      <c r="C61" s="6"/>
      <c r="D61" s="6"/>
      <c r="E61" s="7">
        <v>0</v>
      </c>
      <c r="F61" s="7">
        <v>0</v>
      </c>
      <c r="G61" s="7">
        <v>0</v>
      </c>
      <c r="H61" s="122">
        <f t="shared" si="1"/>
        <v>0</v>
      </c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</row>
    <row r="62" spans="1:23" s="168" customFormat="1" hidden="1">
      <c r="A62" s="9"/>
      <c r="B62" s="10"/>
      <c r="C62" s="6"/>
      <c r="D62" s="6"/>
      <c r="E62" s="7">
        <v>0</v>
      </c>
      <c r="F62" s="7">
        <v>0</v>
      </c>
      <c r="G62" s="7">
        <v>0</v>
      </c>
      <c r="H62" s="122">
        <f t="shared" si="1"/>
        <v>0</v>
      </c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</row>
    <row r="63" spans="1:23" s="168" customFormat="1" hidden="1">
      <c r="A63" s="9"/>
      <c r="B63" s="10"/>
      <c r="C63" s="6"/>
      <c r="D63" s="6"/>
      <c r="E63" s="7">
        <v>0</v>
      </c>
      <c r="F63" s="7">
        <v>0</v>
      </c>
      <c r="G63" s="7">
        <v>0</v>
      </c>
      <c r="H63" s="122">
        <f t="shared" si="1"/>
        <v>0</v>
      </c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</row>
    <row r="64" spans="1:23" s="168" customFormat="1" hidden="1">
      <c r="A64" s="9"/>
      <c r="B64" s="10"/>
      <c r="C64" s="6"/>
      <c r="D64" s="6"/>
      <c r="E64" s="7">
        <v>0</v>
      </c>
      <c r="F64" s="7">
        <v>0</v>
      </c>
      <c r="G64" s="7">
        <v>0</v>
      </c>
      <c r="H64" s="122">
        <f t="shared" si="1"/>
        <v>0</v>
      </c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</row>
    <row r="65" spans="1:23" s="168" customFormat="1" hidden="1">
      <c r="A65" s="9"/>
      <c r="B65" s="10"/>
      <c r="C65" s="6"/>
      <c r="D65" s="6"/>
      <c r="E65" s="7">
        <v>0</v>
      </c>
      <c r="F65" s="7">
        <v>0</v>
      </c>
      <c r="G65" s="7">
        <v>0</v>
      </c>
      <c r="H65" s="122">
        <f t="shared" si="1"/>
        <v>0</v>
      </c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</row>
    <row r="66" spans="1:23" s="168" customFormat="1" hidden="1">
      <c r="A66" s="9"/>
      <c r="B66" s="10"/>
      <c r="C66" s="6"/>
      <c r="D66" s="6"/>
      <c r="E66" s="7">
        <v>0</v>
      </c>
      <c r="F66" s="7">
        <v>0</v>
      </c>
      <c r="G66" s="7">
        <v>0</v>
      </c>
      <c r="H66" s="122">
        <f t="shared" si="1"/>
        <v>0</v>
      </c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</row>
    <row r="67" spans="1:23" s="168" customFormat="1" hidden="1">
      <c r="A67" s="9"/>
      <c r="B67" s="10"/>
      <c r="C67" s="6"/>
      <c r="D67" s="6"/>
      <c r="E67" s="7">
        <v>0</v>
      </c>
      <c r="F67" s="7">
        <v>0</v>
      </c>
      <c r="G67" s="7">
        <v>0</v>
      </c>
      <c r="H67" s="122">
        <f t="shared" si="1"/>
        <v>0</v>
      </c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</row>
    <row r="68" spans="1:23" s="168" customFormat="1" hidden="1">
      <c r="A68" s="9"/>
      <c r="B68" s="10"/>
      <c r="C68" s="6"/>
      <c r="D68" s="6"/>
      <c r="E68" s="7">
        <v>0</v>
      </c>
      <c r="F68" s="7">
        <v>0</v>
      </c>
      <c r="G68" s="7">
        <v>0</v>
      </c>
      <c r="H68" s="122">
        <f t="shared" si="1"/>
        <v>0</v>
      </c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</row>
    <row r="69" spans="1:23" s="168" customFormat="1" hidden="1">
      <c r="A69" s="9"/>
      <c r="B69" s="10"/>
      <c r="C69" s="6"/>
      <c r="D69" s="6"/>
      <c r="E69" s="7">
        <v>0</v>
      </c>
      <c r="F69" s="7">
        <v>0</v>
      </c>
      <c r="G69" s="7">
        <v>0</v>
      </c>
      <c r="H69" s="122">
        <f t="shared" si="1"/>
        <v>0</v>
      </c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</row>
    <row r="70" spans="1:23" s="168" customFormat="1" hidden="1">
      <c r="A70" s="9"/>
      <c r="B70" s="10"/>
      <c r="C70" s="6"/>
      <c r="D70" s="6"/>
      <c r="E70" s="7">
        <v>0</v>
      </c>
      <c r="F70" s="7">
        <v>0</v>
      </c>
      <c r="G70" s="7">
        <v>0</v>
      </c>
      <c r="H70" s="122">
        <f t="shared" si="1"/>
        <v>0</v>
      </c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</row>
    <row r="71" spans="1:23" s="168" customFormat="1" hidden="1">
      <c r="A71" s="9"/>
      <c r="B71" s="10"/>
      <c r="C71" s="6"/>
      <c r="D71" s="6"/>
      <c r="E71" s="7">
        <v>0</v>
      </c>
      <c r="F71" s="7">
        <v>0</v>
      </c>
      <c r="G71" s="7">
        <v>0</v>
      </c>
      <c r="H71" s="122">
        <f t="shared" si="1"/>
        <v>0</v>
      </c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</row>
    <row r="72" spans="1:23" s="168" customFormat="1" hidden="1">
      <c r="A72" s="9"/>
      <c r="B72" s="10"/>
      <c r="C72" s="6"/>
      <c r="D72" s="6"/>
      <c r="E72" s="7">
        <v>0</v>
      </c>
      <c r="F72" s="7">
        <v>0</v>
      </c>
      <c r="G72" s="7">
        <v>0</v>
      </c>
      <c r="H72" s="122">
        <f t="shared" ref="H72:H80" si="2">IFERROR(G72/F72*100,)</f>
        <v>0</v>
      </c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</row>
    <row r="73" spans="1:23" s="168" customFormat="1" hidden="1">
      <c r="A73" s="9"/>
      <c r="B73" s="10"/>
      <c r="C73" s="6"/>
      <c r="D73" s="6"/>
      <c r="E73" s="7">
        <v>0</v>
      </c>
      <c r="F73" s="7">
        <v>0</v>
      </c>
      <c r="G73" s="7">
        <v>0</v>
      </c>
      <c r="H73" s="122">
        <f t="shared" si="2"/>
        <v>0</v>
      </c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</row>
    <row r="74" spans="1:23" s="168" customFormat="1" hidden="1">
      <c r="A74" s="9"/>
      <c r="B74" s="10"/>
      <c r="C74" s="6"/>
      <c r="D74" s="6"/>
      <c r="E74" s="7">
        <v>0</v>
      </c>
      <c r="F74" s="7">
        <v>0</v>
      </c>
      <c r="G74" s="7">
        <v>0</v>
      </c>
      <c r="H74" s="122">
        <f t="shared" si="2"/>
        <v>0</v>
      </c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</row>
    <row r="75" spans="1:23" s="168" customFormat="1" hidden="1">
      <c r="A75" s="9"/>
      <c r="B75" s="10"/>
      <c r="C75" s="6"/>
      <c r="D75" s="6"/>
      <c r="E75" s="7">
        <v>0</v>
      </c>
      <c r="F75" s="7">
        <v>0</v>
      </c>
      <c r="G75" s="7">
        <v>0</v>
      </c>
      <c r="H75" s="122">
        <f t="shared" si="2"/>
        <v>0</v>
      </c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</row>
    <row r="76" spans="1:23" s="168" customFormat="1" hidden="1">
      <c r="A76" s="9"/>
      <c r="B76" s="10"/>
      <c r="C76" s="6"/>
      <c r="D76" s="6"/>
      <c r="E76" s="7">
        <v>0</v>
      </c>
      <c r="F76" s="7">
        <v>0</v>
      </c>
      <c r="G76" s="7">
        <v>0</v>
      </c>
      <c r="H76" s="122">
        <f t="shared" si="2"/>
        <v>0</v>
      </c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</row>
    <row r="77" spans="1:23" s="168" customFormat="1" hidden="1">
      <c r="A77" s="9"/>
      <c r="B77" s="10"/>
      <c r="C77" s="6"/>
      <c r="D77" s="6"/>
      <c r="E77" s="7">
        <v>0</v>
      </c>
      <c r="F77" s="7">
        <v>0</v>
      </c>
      <c r="G77" s="7">
        <v>0</v>
      </c>
      <c r="H77" s="122">
        <f t="shared" si="2"/>
        <v>0</v>
      </c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</row>
    <row r="78" spans="1:23" s="168" customFormat="1" hidden="1">
      <c r="A78" s="9"/>
      <c r="B78" s="10"/>
      <c r="C78" s="6"/>
      <c r="D78" s="6"/>
      <c r="E78" s="7">
        <v>0</v>
      </c>
      <c r="F78" s="7">
        <v>0</v>
      </c>
      <c r="G78" s="7">
        <v>0</v>
      </c>
      <c r="H78" s="122">
        <f t="shared" si="2"/>
        <v>0</v>
      </c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</row>
    <row r="79" spans="1:23" s="168" customFormat="1" hidden="1">
      <c r="A79" s="9"/>
      <c r="B79" s="10"/>
      <c r="C79" s="6"/>
      <c r="D79" s="6"/>
      <c r="E79" s="7">
        <v>0</v>
      </c>
      <c r="F79" s="7">
        <v>0</v>
      </c>
      <c r="G79" s="7">
        <v>0</v>
      </c>
      <c r="H79" s="122">
        <f t="shared" si="2"/>
        <v>0</v>
      </c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</row>
    <row r="80" spans="1:23" s="168" customFormat="1" hidden="1">
      <c r="A80" s="9"/>
      <c r="B80" s="10"/>
      <c r="C80" s="6"/>
      <c r="D80" s="6"/>
      <c r="E80" s="7">
        <v>0</v>
      </c>
      <c r="F80" s="7">
        <v>0</v>
      </c>
      <c r="G80" s="7">
        <v>0</v>
      </c>
      <c r="H80" s="122">
        <f t="shared" si="2"/>
        <v>0</v>
      </c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</row>
    <row r="81" spans="1:23" s="168" customFormat="1" ht="26.4" thickBot="1">
      <c r="A81" s="354" t="s">
        <v>3</v>
      </c>
      <c r="B81" s="355"/>
      <c r="C81" s="355"/>
      <c r="D81" s="355"/>
      <c r="E81" s="123">
        <f>SUM(E7:E80)</f>
        <v>2347269.83</v>
      </c>
      <c r="F81" s="123">
        <f t="shared" ref="F81:H81" si="3">SUM(F7:F80)</f>
        <v>2347269.83</v>
      </c>
      <c r="G81" s="123">
        <f t="shared" si="3"/>
        <v>1954931.84</v>
      </c>
      <c r="H81" s="123">
        <f t="shared" si="3"/>
        <v>1478.1190121820869</v>
      </c>
      <c r="I81" s="167" t="e">
        <f>G81=#REF!</f>
        <v>#REF!</v>
      </c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</row>
    <row r="82" spans="1:23" s="168" customFormat="1">
      <c r="A82" s="353" t="s">
        <v>225</v>
      </c>
      <c r="B82" s="353"/>
      <c r="C82" s="353"/>
      <c r="D82" s="353"/>
      <c r="E82" s="171"/>
      <c r="F82" s="171" t="b">
        <f>F81=E81</f>
        <v>1</v>
      </c>
      <c r="G82" s="171"/>
      <c r="H82" s="171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</row>
    <row r="83" spans="1:23" s="168" customFormat="1">
      <c r="A83" s="349" t="s">
        <v>177</v>
      </c>
      <c r="B83" s="349"/>
      <c r="C83" s="349"/>
      <c r="D83" s="349"/>
      <c r="E83" s="349"/>
      <c r="F83" s="350"/>
      <c r="G83" s="349"/>
      <c r="H83" s="349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</row>
    <row r="84" spans="1:23" s="168" customFormat="1" ht="123.75" customHeight="1">
      <c r="A84" s="347"/>
      <c r="B84" s="348"/>
      <c r="C84" s="348"/>
      <c r="D84" s="348"/>
      <c r="E84" s="348"/>
      <c r="F84" s="348"/>
      <c r="G84" s="348"/>
      <c r="H84" s="348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</row>
    <row r="85" spans="1:23" s="168" customFormat="1">
      <c r="A85" s="346"/>
      <c r="B85" s="346"/>
      <c r="C85" s="346"/>
      <c r="D85" s="346"/>
      <c r="E85" s="346"/>
      <c r="F85" s="346"/>
      <c r="G85" s="346"/>
      <c r="H85" s="346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</row>
  </sheetData>
  <sheetProtection formatCells="0" formatRows="0" insertRows="0" deleteRows="0"/>
  <mergeCells count="16">
    <mergeCell ref="A4:H4"/>
    <mergeCell ref="A1:H1"/>
    <mergeCell ref="A2:H2"/>
    <mergeCell ref="J6:Q10"/>
    <mergeCell ref="A85:H85"/>
    <mergeCell ref="A84:H84"/>
    <mergeCell ref="A83:H83"/>
    <mergeCell ref="E5:E6"/>
    <mergeCell ref="G5:G6"/>
    <mergeCell ref="A82:D82"/>
    <mergeCell ref="A81:D81"/>
    <mergeCell ref="F5:F6"/>
    <mergeCell ref="A5:A6"/>
    <mergeCell ref="B5:B6"/>
    <mergeCell ref="C5:C6"/>
    <mergeCell ref="D5:D6"/>
  </mergeCells>
  <phoneticPr fontId="18" type="noConversion"/>
  <conditionalFormatting sqref="E82:H82">
    <cfRule type="cellIs" dxfId="47" priority="6" operator="equal">
      <formula>TRUE</formula>
    </cfRule>
  </conditionalFormatting>
  <conditionalFormatting sqref="H7">
    <cfRule type="cellIs" dxfId="46" priority="4" operator="greaterThan">
      <formula>100.01</formula>
    </cfRule>
  </conditionalFormatting>
  <conditionalFormatting sqref="H7">
    <cfRule type="cellIs" dxfId="45" priority="3" operator="lessThan">
      <formula>100.01</formula>
    </cfRule>
  </conditionalFormatting>
  <conditionalFormatting sqref="H8:H80">
    <cfRule type="cellIs" dxfId="44" priority="2" operator="greaterThan">
      <formula>100.01</formula>
    </cfRule>
  </conditionalFormatting>
  <conditionalFormatting sqref="H8:H80">
    <cfRule type="cellIs" dxfId="43" priority="1" operator="lessThan">
      <formula>100.01</formula>
    </cfRule>
  </conditionalFormatting>
  <pageMargins left="0.23622047244094491" right="0.23622047244094491" top="0.27" bottom="0.17" header="0.31496062992125984" footer="0.31496062992125984"/>
  <pageSetup paperSize="9" scale="41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'Validação de dados'!$D$1:$D$16</xm:f>
          </x14:formula1>
          <xm:sqref>D7:D80</xm:sqref>
        </x14:dataValidation>
        <x14:dataValidation type="list" allowBlank="1" showInputMessage="1" showErrorMessage="1" xr:uid="{00000000-0002-0000-0200-000001000000}">
          <x14:formula1>
            <xm:f>'Validação de dados'!$E$1:$E$6</xm:f>
          </x14:formula1>
          <xm:sqref>B7:B80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7">
    <tabColor rgb="FF2A5664"/>
    <pageSetUpPr fitToPage="1"/>
  </sheetPr>
  <dimension ref="A1:Q28"/>
  <sheetViews>
    <sheetView showGridLines="0" zoomScale="80" zoomScaleNormal="80" zoomScaleSheetLayoutView="80" workbookViewId="0">
      <selection activeCell="H20" sqref="H20"/>
    </sheetView>
  </sheetViews>
  <sheetFormatPr defaultColWidth="9.109375" defaultRowHeight="15.6"/>
  <cols>
    <col min="1" max="1" width="47" style="126" customWidth="1"/>
    <col min="2" max="5" width="21.44140625" style="126" customWidth="1"/>
    <col min="6" max="6" width="22.109375" style="126" customWidth="1"/>
    <col min="7" max="7" width="18.88671875" style="133" customWidth="1"/>
    <col min="8" max="22" width="9.109375" style="133" customWidth="1"/>
    <col min="23" max="16384" width="9.109375" style="133"/>
  </cols>
  <sheetData>
    <row r="1" spans="1:17">
      <c r="A1" s="372" t="str">
        <f>'Indicadores e Metas'!A1:G1</f>
        <v xml:space="preserve">CAU/UF:  </v>
      </c>
      <c r="B1" s="373"/>
      <c r="C1" s="373"/>
      <c r="D1" s="373"/>
      <c r="E1" s="373"/>
      <c r="F1" s="374"/>
    </row>
    <row r="2" spans="1:17" s="134" customFormat="1">
      <c r="A2" s="372" t="s">
        <v>378</v>
      </c>
      <c r="B2" s="373"/>
      <c r="C2" s="373"/>
      <c r="D2" s="373"/>
      <c r="E2" s="373"/>
      <c r="F2" s="374"/>
    </row>
    <row r="3" spans="1:17" s="134" customFormat="1">
      <c r="A3" s="365"/>
      <c r="B3" s="365"/>
      <c r="C3" s="365"/>
      <c r="D3" s="365"/>
      <c r="E3" s="129" t="s">
        <v>13</v>
      </c>
      <c r="F3" s="127"/>
    </row>
    <row r="4" spans="1:17" ht="22.5" customHeight="1">
      <c r="A4" s="375" t="s">
        <v>4</v>
      </c>
      <c r="B4" s="376"/>
      <c r="C4" s="370" t="s">
        <v>379</v>
      </c>
      <c r="D4" s="370" t="s">
        <v>380</v>
      </c>
      <c r="E4" s="190" t="s">
        <v>339</v>
      </c>
      <c r="F4" s="380" t="s">
        <v>327</v>
      </c>
    </row>
    <row r="5" spans="1:17" ht="38.25" customHeight="1" thickBot="1">
      <c r="A5" s="377"/>
      <c r="B5" s="378"/>
      <c r="C5" s="371"/>
      <c r="D5" s="371"/>
      <c r="E5" s="12" t="s">
        <v>340</v>
      </c>
      <c r="F5" s="380"/>
    </row>
    <row r="6" spans="1:17" ht="23.4">
      <c r="A6" s="379" t="s">
        <v>328</v>
      </c>
      <c r="B6" s="379"/>
      <c r="C6" s="164"/>
      <c r="D6" s="164"/>
      <c r="E6" s="165"/>
      <c r="F6" s="165"/>
      <c r="H6" s="198" t="s">
        <v>344</v>
      </c>
      <c r="I6" s="182"/>
      <c r="J6" s="182"/>
      <c r="K6" s="182"/>
      <c r="L6" s="182"/>
      <c r="M6" s="182"/>
      <c r="N6" s="182"/>
      <c r="O6" s="182"/>
      <c r="P6" s="182"/>
      <c r="Q6" s="183"/>
    </row>
    <row r="7" spans="1:17" ht="19.5" customHeight="1">
      <c r="A7" s="369" t="s">
        <v>5</v>
      </c>
      <c r="B7" s="369"/>
      <c r="C7" s="124">
        <f>C8+C18+C19+C20</f>
        <v>1457769.8299999998</v>
      </c>
      <c r="D7" s="124">
        <f>D8+D18+D19+D20</f>
        <v>1645019.1799999997</v>
      </c>
      <c r="E7" s="124">
        <f>IFERROR(D17/C7*100,)</f>
        <v>4.7887655899697155</v>
      </c>
      <c r="F7" s="125">
        <f>IFERROR(D7/$D$24*100,0)</f>
        <v>100</v>
      </c>
      <c r="G7" s="166" t="e">
        <f>D7=#REF!</f>
        <v>#REF!</v>
      </c>
      <c r="H7" s="381" t="s">
        <v>381</v>
      </c>
      <c r="I7" s="382"/>
      <c r="J7" s="382"/>
      <c r="K7" s="382"/>
      <c r="L7" s="382"/>
      <c r="M7" s="382"/>
      <c r="N7" s="382"/>
      <c r="O7" s="382"/>
      <c r="P7" s="382"/>
      <c r="Q7" s="383"/>
    </row>
    <row r="8" spans="1:17" ht="19.5" customHeight="1">
      <c r="A8" s="368" t="s">
        <v>54</v>
      </c>
      <c r="B8" s="368"/>
      <c r="C8" s="124">
        <f>C9+C16+C17</f>
        <v>1250803.3199999998</v>
      </c>
      <c r="D8" s="124">
        <f>D9+D16+D17</f>
        <v>1394791.7899999998</v>
      </c>
      <c r="E8" s="124">
        <f t="shared" ref="E8:E24" si="0">IFERROR(D18/C8*100,)</f>
        <v>10.497029221188829</v>
      </c>
      <c r="F8" s="125">
        <f t="shared" ref="F8:F24" si="1">IFERROR(D8/$D$24*100,0)</f>
        <v>84.78878586692224</v>
      </c>
      <c r="G8" s="166"/>
      <c r="H8" s="384"/>
      <c r="I8" s="335"/>
      <c r="J8" s="335"/>
      <c r="K8" s="335"/>
      <c r="L8" s="335"/>
      <c r="M8" s="335"/>
      <c r="N8" s="335"/>
      <c r="O8" s="335"/>
      <c r="P8" s="335"/>
      <c r="Q8" s="385"/>
    </row>
    <row r="9" spans="1:17" ht="19.5" customHeight="1">
      <c r="A9" s="368" t="s">
        <v>6</v>
      </c>
      <c r="B9" s="368"/>
      <c r="C9" s="124">
        <f>C10+C13</f>
        <v>554875.63</v>
      </c>
      <c r="D9" s="124">
        <f>D10+D13</f>
        <v>552343.98</v>
      </c>
      <c r="E9" s="124">
        <f t="shared" si="0"/>
        <v>1.3442940357643749</v>
      </c>
      <c r="F9" s="125">
        <f t="shared" si="1"/>
        <v>33.576750150718617</v>
      </c>
      <c r="G9" s="166"/>
      <c r="H9" s="384"/>
      <c r="I9" s="335"/>
      <c r="J9" s="335"/>
      <c r="K9" s="335"/>
      <c r="L9" s="335"/>
      <c r="M9" s="335"/>
      <c r="N9" s="335"/>
      <c r="O9" s="335"/>
      <c r="P9" s="335"/>
      <c r="Q9" s="385"/>
    </row>
    <row r="10" spans="1:17" ht="19.5" customHeight="1">
      <c r="A10" s="368" t="s">
        <v>7</v>
      </c>
      <c r="B10" s="368"/>
      <c r="C10" s="121">
        <f>SUM(C11:C12)</f>
        <v>510807.63</v>
      </c>
      <c r="D10" s="121">
        <f>SUM(D11:D12)</f>
        <v>516513.92</v>
      </c>
      <c r="E10" s="124">
        <f t="shared" si="0"/>
        <v>21.822508798468807</v>
      </c>
      <c r="F10" s="125">
        <f t="shared" si="1"/>
        <v>31.398656397428759</v>
      </c>
      <c r="G10" s="166"/>
      <c r="H10" s="384"/>
      <c r="I10" s="335"/>
      <c r="J10" s="335"/>
      <c r="K10" s="335"/>
      <c r="L10" s="335"/>
      <c r="M10" s="335"/>
      <c r="N10" s="335"/>
      <c r="O10" s="335"/>
      <c r="P10" s="335"/>
      <c r="Q10" s="385"/>
    </row>
    <row r="11" spans="1:17" ht="19.5" customHeight="1">
      <c r="A11" s="367" t="s">
        <v>178</v>
      </c>
      <c r="B11" s="367"/>
      <c r="C11" s="7">
        <f>'FONTES REPROG'!F12</f>
        <v>437802.01</v>
      </c>
      <c r="D11" s="7">
        <f>RECEITAS!K21</f>
        <v>414714.22</v>
      </c>
      <c r="E11" s="124">
        <f t="shared" si="0"/>
        <v>0</v>
      </c>
      <c r="F11" s="125">
        <f t="shared" si="1"/>
        <v>25.210296940124433</v>
      </c>
      <c r="G11" s="166"/>
      <c r="H11" s="384"/>
      <c r="I11" s="335"/>
      <c r="J11" s="335"/>
      <c r="K11" s="335"/>
      <c r="L11" s="335"/>
      <c r="M11" s="335"/>
      <c r="N11" s="335"/>
      <c r="O11" s="335"/>
      <c r="P11" s="335"/>
      <c r="Q11" s="385"/>
    </row>
    <row r="12" spans="1:17" ht="19.5" customHeight="1">
      <c r="A12" s="367" t="s">
        <v>52</v>
      </c>
      <c r="B12" s="367"/>
      <c r="C12" s="7">
        <f>'FONTES REPROG'!F13</f>
        <v>73005.62</v>
      </c>
      <c r="D12" s="7">
        <f>RECEITAS!K22</f>
        <v>101799.7</v>
      </c>
      <c r="E12" s="124">
        <f t="shared" si="0"/>
        <v>0</v>
      </c>
      <c r="F12" s="125">
        <f t="shared" si="1"/>
        <v>6.1883594573043226</v>
      </c>
      <c r="G12" s="166"/>
      <c r="H12" s="384"/>
      <c r="I12" s="335"/>
      <c r="J12" s="335"/>
      <c r="K12" s="335"/>
      <c r="L12" s="335"/>
      <c r="M12" s="335"/>
      <c r="N12" s="335"/>
      <c r="O12" s="335"/>
      <c r="P12" s="335"/>
      <c r="Q12" s="385"/>
    </row>
    <row r="13" spans="1:17" ht="19.5" customHeight="1">
      <c r="A13" s="368" t="s">
        <v>8</v>
      </c>
      <c r="B13" s="368"/>
      <c r="C13" s="124">
        <f>SUM(C14:C15)</f>
        <v>44068</v>
      </c>
      <c r="D13" s="124">
        <f>SUM(D14:D15)</f>
        <v>35830.06</v>
      </c>
      <c r="E13" s="124">
        <f t="shared" si="0"/>
        <v>0</v>
      </c>
      <c r="F13" s="125">
        <f t="shared" si="1"/>
        <v>2.1780937532898554</v>
      </c>
      <c r="G13" s="166"/>
      <c r="H13" s="386"/>
      <c r="I13" s="387"/>
      <c r="J13" s="387"/>
      <c r="K13" s="387"/>
      <c r="L13" s="387"/>
      <c r="M13" s="387"/>
      <c r="N13" s="387"/>
      <c r="O13" s="387"/>
      <c r="P13" s="387"/>
      <c r="Q13" s="388"/>
    </row>
    <row r="14" spans="1:17" ht="19.5" customHeight="1">
      <c r="A14" s="367" t="s">
        <v>179</v>
      </c>
      <c r="B14" s="367"/>
      <c r="C14" s="7">
        <f>'FONTES REPROG'!F15</f>
        <v>28552.21</v>
      </c>
      <c r="D14" s="7">
        <f>RECEITAS!K23</f>
        <v>21155.439999999999</v>
      </c>
      <c r="E14" s="124">
        <f t="shared" si="0"/>
        <v>5761.4425643409031</v>
      </c>
      <c r="F14" s="125">
        <f t="shared" si="1"/>
        <v>1.2860299902399923</v>
      </c>
      <c r="G14" s="166"/>
    </row>
    <row r="15" spans="1:17" ht="19.5" customHeight="1">
      <c r="A15" s="367" t="s">
        <v>53</v>
      </c>
      <c r="B15" s="367"/>
      <c r="C15" s="7">
        <f>'FONTES REPROG'!F16</f>
        <v>15515.79</v>
      </c>
      <c r="D15" s="7">
        <f>RECEITAS!K24</f>
        <v>14674.62</v>
      </c>
      <c r="E15" s="124">
        <f t="shared" si="0"/>
        <v>0</v>
      </c>
      <c r="F15" s="125">
        <f t="shared" si="1"/>
        <v>0.89206376304986323</v>
      </c>
      <c r="G15" s="166"/>
    </row>
    <row r="16" spans="1:17" ht="19.5" customHeight="1">
      <c r="A16" s="366" t="s">
        <v>49</v>
      </c>
      <c r="B16" s="366"/>
      <c r="C16" s="7">
        <f>'FONTES REPROG'!F17</f>
        <v>648401.06000000006</v>
      </c>
      <c r="D16" s="7">
        <f>RECEITAS!K25</f>
        <v>772638.63</v>
      </c>
      <c r="E16" s="124">
        <f t="shared" si="0"/>
        <v>0</v>
      </c>
      <c r="F16" s="125">
        <f t="shared" si="1"/>
        <v>46.968366046649997</v>
      </c>
      <c r="G16" s="166"/>
    </row>
    <row r="17" spans="1:7" ht="19.5" customHeight="1">
      <c r="A17" s="366" t="s">
        <v>122</v>
      </c>
      <c r="B17" s="366"/>
      <c r="C17" s="7">
        <f>'FONTES REPROG'!F18</f>
        <v>47526.63</v>
      </c>
      <c r="D17" s="7">
        <f>RECEITAS!K37+RECEITAS!K32+RECEITAS!K35</f>
        <v>69809.180000000008</v>
      </c>
      <c r="E17" s="124">
        <f t="shared" si="0"/>
        <v>0</v>
      </c>
      <c r="F17" s="125">
        <f t="shared" si="1"/>
        <v>4.2436696695536416</v>
      </c>
      <c r="G17" s="166"/>
    </row>
    <row r="18" spans="1:7" ht="19.5" customHeight="1">
      <c r="A18" s="366" t="s">
        <v>9</v>
      </c>
      <c r="B18" s="366"/>
      <c r="C18" s="7">
        <f>'FONTES REPROG'!F19</f>
        <v>52000</v>
      </c>
      <c r="D18" s="7">
        <f>RECEITAS!K40</f>
        <v>131297.19</v>
      </c>
      <c r="E18" s="124">
        <f t="shared" si="0"/>
        <v>0</v>
      </c>
      <c r="F18" s="125">
        <f t="shared" si="1"/>
        <v>7.9814990363820577</v>
      </c>
      <c r="G18" s="166"/>
    </row>
    <row r="19" spans="1:7" ht="19.5" customHeight="1">
      <c r="A19" s="366" t="s">
        <v>110</v>
      </c>
      <c r="B19" s="366"/>
      <c r="C19" s="7">
        <f>'FONTES REPROG'!F20</f>
        <v>4766.32</v>
      </c>
      <c r="D19" s="7">
        <f>RECEITAS!K44</f>
        <v>7459.16</v>
      </c>
      <c r="E19" s="124">
        <f t="shared" si="0"/>
        <v>0</v>
      </c>
      <c r="F19" s="125">
        <f t="shared" si="1"/>
        <v>0.45343908999285965</v>
      </c>
      <c r="G19" s="276"/>
    </row>
    <row r="20" spans="1:7" ht="19.5" customHeight="1">
      <c r="A20" s="366" t="s">
        <v>10</v>
      </c>
      <c r="B20" s="366"/>
      <c r="C20" s="7">
        <f>'FONTES REPROG'!F21</f>
        <v>150200.19</v>
      </c>
      <c r="D20" s="7">
        <f>RECEITAS!K42</f>
        <v>111471.03999999999</v>
      </c>
      <c r="E20" s="124">
        <f t="shared" si="0"/>
        <v>0</v>
      </c>
      <c r="F20" s="125">
        <f t="shared" si="1"/>
        <v>6.7762760067028527</v>
      </c>
      <c r="G20" s="166"/>
    </row>
    <row r="21" spans="1:7" ht="19.5" customHeight="1">
      <c r="A21" s="369" t="s">
        <v>232</v>
      </c>
      <c r="B21" s="369"/>
      <c r="C21" s="124">
        <f>SUM(C22:C23)</f>
        <v>889500</v>
      </c>
      <c r="D21" s="124">
        <f>SUM(D22:D23)</f>
        <v>0</v>
      </c>
      <c r="E21" s="124">
        <f t="shared" si="0"/>
        <v>0</v>
      </c>
      <c r="F21" s="125">
        <f t="shared" si="1"/>
        <v>0</v>
      </c>
      <c r="G21" s="166"/>
    </row>
    <row r="22" spans="1:7" ht="19.5" customHeight="1">
      <c r="A22" s="366" t="s">
        <v>11</v>
      </c>
      <c r="B22" s="366"/>
      <c r="C22" s="13">
        <f>'FONTES REPROG'!F23</f>
        <v>889500</v>
      </c>
      <c r="D22" s="13"/>
      <c r="E22" s="124">
        <f t="shared" si="0"/>
        <v>0</v>
      </c>
      <c r="F22" s="125">
        <f t="shared" si="1"/>
        <v>0</v>
      </c>
      <c r="G22" s="166"/>
    </row>
    <row r="23" spans="1:7" ht="19.5" customHeight="1">
      <c r="A23" s="366" t="s">
        <v>109</v>
      </c>
      <c r="B23" s="366"/>
      <c r="C23" s="13"/>
      <c r="D23" s="13"/>
      <c r="E23" s="124">
        <f t="shared" si="0"/>
        <v>0</v>
      </c>
      <c r="F23" s="125">
        <f t="shared" si="1"/>
        <v>0</v>
      </c>
      <c r="G23" s="166"/>
    </row>
    <row r="24" spans="1:7" ht="19.5" customHeight="1">
      <c r="A24" s="369" t="s">
        <v>12</v>
      </c>
      <c r="B24" s="369"/>
      <c r="C24" s="124">
        <f>SUM(C7,C21)</f>
        <v>2347269.83</v>
      </c>
      <c r="D24" s="124">
        <f>SUM(D7,D21)</f>
        <v>1645019.1799999997</v>
      </c>
      <c r="E24" s="124">
        <f t="shared" si="0"/>
        <v>0</v>
      </c>
      <c r="F24" s="125">
        <f t="shared" si="1"/>
        <v>100</v>
      </c>
      <c r="G24" s="166"/>
    </row>
    <row r="25" spans="1:7" ht="50.25" customHeight="1">
      <c r="A25" s="130"/>
      <c r="B25" s="130"/>
      <c r="C25" s="131"/>
      <c r="D25" s="131"/>
      <c r="E25" s="131"/>
      <c r="F25" s="132"/>
    </row>
    <row r="27" spans="1:7">
      <c r="A27" s="359" t="s">
        <v>177</v>
      </c>
      <c r="B27" s="360"/>
      <c r="C27" s="360"/>
      <c r="D27" s="360"/>
      <c r="E27" s="360"/>
      <c r="F27" s="361"/>
    </row>
    <row r="28" spans="1:7" ht="72" customHeight="1">
      <c r="A28" s="362"/>
      <c r="B28" s="363"/>
      <c r="C28" s="363"/>
      <c r="D28" s="363"/>
      <c r="E28" s="363"/>
      <c r="F28" s="364"/>
    </row>
  </sheetData>
  <protectedRanges>
    <protectedRange algorithmName="SHA-512" hashValue="oBu0U8UHWW1M9CSBiI+2smTKBuiu7zBMJPASzxaVW3/YfTocFsZXqoNbgPAUiXKweXnE/VLNBYi0YQjO9aRFIA==" saltValue="Uwn4xh4BFhDBBJp6oLNp+A==" spinCount="100000" sqref="H6:H9" name="Indicadores"/>
  </protectedRanges>
  <mergeCells count="29">
    <mergeCell ref="A17:B17"/>
    <mergeCell ref="A18:B18"/>
    <mergeCell ref="A14:B14"/>
    <mergeCell ref="A15:B15"/>
    <mergeCell ref="H7:Q13"/>
    <mergeCell ref="A7:B7"/>
    <mergeCell ref="A8:B8"/>
    <mergeCell ref="A1:F1"/>
    <mergeCell ref="A2:F2"/>
    <mergeCell ref="D4:D5"/>
    <mergeCell ref="A4:B5"/>
    <mergeCell ref="A6:B6"/>
    <mergeCell ref="F4:F5"/>
    <mergeCell ref="A27:F27"/>
    <mergeCell ref="A28:F28"/>
    <mergeCell ref="A3:D3"/>
    <mergeCell ref="A22:B22"/>
    <mergeCell ref="A11:B11"/>
    <mergeCell ref="A12:B12"/>
    <mergeCell ref="A13:B13"/>
    <mergeCell ref="A23:B23"/>
    <mergeCell ref="A24:B24"/>
    <mergeCell ref="C4:C5"/>
    <mergeCell ref="A16:B16"/>
    <mergeCell ref="A9:B9"/>
    <mergeCell ref="A10:B10"/>
    <mergeCell ref="A19:B19"/>
    <mergeCell ref="A20:B20"/>
    <mergeCell ref="A21:B21"/>
  </mergeCells>
  <phoneticPr fontId="18" type="noConversion"/>
  <conditionalFormatting sqref="C25:E25">
    <cfRule type="cellIs" dxfId="42" priority="6" operator="equal">
      <formula>TRUE</formula>
    </cfRule>
  </conditionalFormatting>
  <pageMargins left="0.23622047244094491" right="0.23622047244094491" top="0.74803149606299213" bottom="0.74803149606299213" header="0.31496062992125984" footer="0.31496062992125984"/>
  <pageSetup paperSize="9" scale="81" orientation="portrait" horizontalDpi="300" verticalDpi="300" r:id="rId1"/>
  <ignoredErrors>
    <ignoredError sqref="C11:C22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6">
    <tabColor rgb="FF2A5664"/>
  </sheetPr>
  <dimension ref="A1:AE28"/>
  <sheetViews>
    <sheetView tabSelected="1" zoomScale="70" zoomScaleNormal="70" workbookViewId="0">
      <selection activeCell="G23" sqref="G23:G24"/>
    </sheetView>
  </sheetViews>
  <sheetFormatPr defaultColWidth="9.109375" defaultRowHeight="25.8" zeroHeight="1"/>
  <cols>
    <col min="1" max="1" width="7.88671875" style="89" bestFit="1" customWidth="1"/>
    <col min="2" max="2" width="47.5546875" style="89" bestFit="1" customWidth="1"/>
    <col min="3" max="3" width="10.44140625" style="89" bestFit="1" customWidth="1"/>
    <col min="4" max="4" width="23.88671875" style="89" bestFit="1" customWidth="1"/>
    <col min="5" max="5" width="20.109375" style="89" bestFit="1" customWidth="1"/>
    <col min="6" max="6" width="17.33203125" style="89" customWidth="1"/>
    <col min="7" max="7" width="37.33203125" style="89" customWidth="1"/>
    <col min="8" max="10" width="14" style="89" customWidth="1"/>
    <col min="11" max="11" width="11.6640625" style="89" customWidth="1"/>
    <col min="12" max="12" width="53" style="89" customWidth="1"/>
    <col min="13" max="13" width="10.44140625" style="89" bestFit="1" customWidth="1"/>
    <col min="14" max="14" width="23.88671875" style="89" bestFit="1" customWidth="1"/>
    <col min="15" max="15" width="28.109375" style="89" customWidth="1"/>
    <col min="16" max="16" width="14.44140625" style="89" bestFit="1" customWidth="1"/>
    <col min="17" max="17" width="26.88671875" style="89" customWidth="1"/>
    <col min="18" max="19" width="17.33203125" style="89" customWidth="1"/>
    <col min="20" max="16384" width="9.109375" style="136"/>
  </cols>
  <sheetData>
    <row r="1" spans="1:31">
      <c r="A1" s="333" t="s">
        <v>382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90"/>
    </row>
    <row r="2" spans="1:31" ht="26.4" thickBot="1"/>
    <row r="3" spans="1:31" ht="45" customHeight="1">
      <c r="A3" s="393" t="s">
        <v>32</v>
      </c>
      <c r="B3" s="397" t="s">
        <v>33</v>
      </c>
      <c r="C3" s="397"/>
      <c r="D3" s="191" t="s">
        <v>383</v>
      </c>
      <c r="E3" s="191" t="s">
        <v>384</v>
      </c>
      <c r="F3" s="191" t="s">
        <v>341</v>
      </c>
      <c r="G3" s="150"/>
      <c r="H3" s="150"/>
      <c r="I3" s="150"/>
      <c r="J3" s="150"/>
      <c r="K3" s="393" t="s">
        <v>32</v>
      </c>
      <c r="L3" s="397" t="s">
        <v>34</v>
      </c>
      <c r="M3" s="397"/>
      <c r="N3" s="191" t="s">
        <v>383</v>
      </c>
      <c r="O3" s="191" t="s">
        <v>384</v>
      </c>
      <c r="P3" s="11" t="s">
        <v>339</v>
      </c>
      <c r="Q3" s="208"/>
      <c r="S3" s="198" t="s">
        <v>344</v>
      </c>
      <c r="T3" s="182"/>
      <c r="U3" s="182"/>
      <c r="V3" s="182"/>
      <c r="W3" s="182"/>
      <c r="X3" s="182"/>
      <c r="Y3" s="182"/>
      <c r="Z3" s="182"/>
      <c r="AA3" s="182"/>
      <c r="AB3" s="183"/>
    </row>
    <row r="4" spans="1:31" ht="36" customHeight="1">
      <c r="A4" s="393"/>
      <c r="B4" s="415" t="s">
        <v>123</v>
      </c>
      <c r="C4" s="415"/>
      <c r="D4" s="14">
        <f>'Fontes '!C8</f>
        <v>1250803.3199999998</v>
      </c>
      <c r="E4" s="14">
        <f>'Fontes '!D8</f>
        <v>1394791.7899999998</v>
      </c>
      <c r="F4" s="15">
        <f>IFERROR(E4/D4*100,0)</f>
        <v>111.51167955006707</v>
      </c>
      <c r="G4" s="207" t="b">
        <f>'Fontes '!D8=E4</f>
        <v>1</v>
      </c>
      <c r="J4" s="135"/>
      <c r="K4" s="414"/>
      <c r="L4" s="416" t="s">
        <v>47</v>
      </c>
      <c r="M4" s="416"/>
      <c r="N4" s="278">
        <v>722157.65</v>
      </c>
      <c r="O4" s="279">
        <f>BALANÇO!G65</f>
        <v>723423.3</v>
      </c>
      <c r="P4" s="15">
        <f>IFERROR(O4/N4*100,0)</f>
        <v>100.17525951570269</v>
      </c>
      <c r="Q4" s="206"/>
      <c r="R4" s="157"/>
      <c r="S4" s="408" t="s">
        <v>385</v>
      </c>
      <c r="T4" s="409"/>
      <c r="U4" s="409"/>
      <c r="V4" s="409"/>
      <c r="W4" s="409"/>
      <c r="X4" s="409"/>
      <c r="Y4" s="409"/>
      <c r="Z4" s="409"/>
      <c r="AA4" s="409"/>
      <c r="AB4" s="410"/>
    </row>
    <row r="5" spans="1:31" ht="36" customHeight="1">
      <c r="A5" s="393"/>
      <c r="B5" s="415" t="s">
        <v>35</v>
      </c>
      <c r="C5" s="415"/>
      <c r="D5" s="14">
        <f>'Fontes '!C20</f>
        <v>150200.19</v>
      </c>
      <c r="E5" s="14">
        <f>'Fontes '!D20</f>
        <v>111471.03999999999</v>
      </c>
      <c r="F5" s="15">
        <f t="shared" ref="F5:F8" si="0">IFERROR(E5/D5*100,0)</f>
        <v>74.214979355219185</v>
      </c>
      <c r="G5" s="207" t="b">
        <f>'Fontes '!D20=E5</f>
        <v>1</v>
      </c>
      <c r="J5" s="135"/>
      <c r="K5" s="414"/>
      <c r="L5" s="416" t="s">
        <v>42</v>
      </c>
      <c r="M5" s="416"/>
      <c r="N5" s="138">
        <v>47520</v>
      </c>
      <c r="O5" s="192">
        <v>37094.42</v>
      </c>
      <c r="P5" s="15">
        <f>IFERROR(O5/N5*100,0)</f>
        <v>78.060648148148147</v>
      </c>
      <c r="Q5" s="206"/>
      <c r="R5" s="157"/>
      <c r="S5" s="411"/>
      <c r="T5" s="412"/>
      <c r="U5" s="412"/>
      <c r="V5" s="412"/>
      <c r="W5" s="412"/>
      <c r="X5" s="412"/>
      <c r="Y5" s="412"/>
      <c r="Z5" s="412"/>
      <c r="AA5" s="412"/>
      <c r="AB5" s="413"/>
    </row>
    <row r="6" spans="1:31" ht="36" customHeight="1">
      <c r="A6" s="393"/>
      <c r="B6" s="417" t="s">
        <v>43</v>
      </c>
      <c r="C6" s="417"/>
      <c r="D6" s="151">
        <f>SUM(D4:D5)</f>
        <v>1401003.5099999998</v>
      </c>
      <c r="E6" s="151">
        <f>SUM(E4:E5)</f>
        <v>1506262.8299999998</v>
      </c>
      <c r="F6" s="152">
        <f t="shared" si="0"/>
        <v>107.51313749385254</v>
      </c>
      <c r="G6" s="206"/>
      <c r="H6" s="135"/>
      <c r="J6" s="135"/>
      <c r="K6" s="414"/>
      <c r="L6" s="416" t="s">
        <v>44</v>
      </c>
      <c r="M6" s="416"/>
      <c r="N6" s="160">
        <f>'Fontes '!C7</f>
        <v>1457769.8299999998</v>
      </c>
      <c r="O6" s="161">
        <f>'Fontes '!D7</f>
        <v>1645019.1799999997</v>
      </c>
      <c r="P6" s="15">
        <f>IFERROR(O6/N6*100,0)</f>
        <v>112.84491873453027</v>
      </c>
      <c r="Q6" s="206"/>
      <c r="R6" s="157"/>
      <c r="S6" s="408" t="s">
        <v>386</v>
      </c>
      <c r="T6" s="409"/>
      <c r="U6" s="409"/>
      <c r="V6" s="409"/>
      <c r="W6" s="409"/>
      <c r="X6" s="409"/>
      <c r="Y6" s="409"/>
      <c r="Z6" s="409"/>
      <c r="AA6" s="409"/>
      <c r="AB6" s="410"/>
    </row>
    <row r="7" spans="1:31" ht="36" customHeight="1">
      <c r="A7" s="393"/>
      <c r="B7" s="415" t="s">
        <v>45</v>
      </c>
      <c r="C7" s="415"/>
      <c r="D7" s="200">
        <v>17311.73</v>
      </c>
      <c r="E7" s="200">
        <f>'Quadro Geral'!G15</f>
        <v>17311.75</v>
      </c>
      <c r="F7" s="15">
        <f t="shared" si="0"/>
        <v>100.00011552860401</v>
      </c>
      <c r="G7" s="206"/>
      <c r="H7" s="135"/>
      <c r="I7" s="135"/>
      <c r="J7" s="135"/>
      <c r="K7" s="418"/>
      <c r="L7" s="418"/>
      <c r="M7" s="137"/>
      <c r="N7" s="140"/>
      <c r="O7" s="141"/>
      <c r="P7" s="141"/>
      <c r="Q7" s="141"/>
      <c r="R7" s="141"/>
      <c r="S7" s="411"/>
      <c r="T7" s="412"/>
      <c r="U7" s="412"/>
      <c r="V7" s="412"/>
      <c r="W7" s="412"/>
      <c r="X7" s="412"/>
      <c r="Y7" s="412"/>
      <c r="Z7" s="412"/>
      <c r="AA7" s="412"/>
      <c r="AB7" s="413"/>
    </row>
    <row r="8" spans="1:31" ht="36" customHeight="1">
      <c r="A8" s="393"/>
      <c r="B8" s="379" t="s">
        <v>51</v>
      </c>
      <c r="C8" s="379"/>
      <c r="D8" s="151">
        <f>D6-D7</f>
        <v>1383691.7799999998</v>
      </c>
      <c r="E8" s="151">
        <f>E6-E7</f>
        <v>1488951.0799999998</v>
      </c>
      <c r="F8" s="152">
        <f t="shared" si="0"/>
        <v>107.60713487797116</v>
      </c>
      <c r="G8" s="206"/>
      <c r="H8" s="135"/>
      <c r="I8" s="135"/>
      <c r="J8" s="135"/>
      <c r="K8" s="127"/>
      <c r="L8" s="127"/>
      <c r="M8" s="137"/>
      <c r="N8" s="142"/>
      <c r="O8" s="143"/>
      <c r="P8" s="142"/>
      <c r="Q8" s="142"/>
      <c r="R8" s="144"/>
      <c r="S8" s="408" t="s">
        <v>345</v>
      </c>
      <c r="T8" s="409"/>
      <c r="U8" s="409"/>
      <c r="V8" s="409"/>
      <c r="W8" s="409"/>
      <c r="X8" s="409"/>
      <c r="Y8" s="409"/>
      <c r="Z8" s="409"/>
      <c r="AA8" s="409"/>
      <c r="AB8" s="410"/>
      <c r="AC8" s="144"/>
      <c r="AD8" s="144"/>
      <c r="AE8" s="144"/>
    </row>
    <row r="9" spans="1:31" ht="36" customHeight="1">
      <c r="A9" s="145"/>
      <c r="B9" s="146"/>
      <c r="C9" s="146"/>
      <c r="D9" s="147"/>
      <c r="E9" s="147"/>
      <c r="F9" s="142"/>
      <c r="G9" s="142"/>
      <c r="H9" s="147"/>
      <c r="I9" s="147"/>
      <c r="J9" s="147"/>
      <c r="K9" s="127"/>
      <c r="L9" s="127"/>
      <c r="M9" s="137"/>
      <c r="N9" s="142"/>
      <c r="O9" s="143"/>
      <c r="P9" s="142"/>
      <c r="Q9" s="142"/>
      <c r="R9" s="148"/>
      <c r="S9" s="411"/>
      <c r="T9" s="412"/>
      <c r="U9" s="412"/>
      <c r="V9" s="412"/>
      <c r="W9" s="412"/>
      <c r="X9" s="412"/>
      <c r="Y9" s="412"/>
      <c r="Z9" s="412"/>
      <c r="AA9" s="412"/>
      <c r="AB9" s="413"/>
      <c r="AC9" s="148"/>
      <c r="AD9" s="148"/>
    </row>
    <row r="10" spans="1:31" ht="58.5" customHeight="1">
      <c r="A10" s="393" t="s">
        <v>50</v>
      </c>
      <c r="B10" s="397" t="s">
        <v>38</v>
      </c>
      <c r="C10" s="397"/>
      <c r="D10" s="191" t="s">
        <v>305</v>
      </c>
      <c r="E10" s="191" t="s">
        <v>384</v>
      </c>
      <c r="F10" s="199" t="s">
        <v>339</v>
      </c>
      <c r="G10" s="191" t="s">
        <v>387</v>
      </c>
      <c r="H10" s="147"/>
      <c r="I10" s="147"/>
      <c r="J10" s="147"/>
      <c r="K10" s="397" t="s">
        <v>38</v>
      </c>
      <c r="L10" s="397"/>
      <c r="M10" s="397"/>
      <c r="N10" s="191" t="s">
        <v>383</v>
      </c>
      <c r="O10" s="191" t="s">
        <v>384</v>
      </c>
      <c r="P10" s="11" t="s">
        <v>339</v>
      </c>
      <c r="Q10" s="191" t="s">
        <v>388</v>
      </c>
      <c r="R10" s="144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</row>
    <row r="11" spans="1:31" ht="36" customHeight="1">
      <c r="A11" s="393"/>
      <c r="B11" s="395" t="s">
        <v>233</v>
      </c>
      <c r="C11" s="153" t="s">
        <v>36</v>
      </c>
      <c r="D11" s="138">
        <f>'Quadro Geral'!E7+'Quadro Geral'!E12</f>
        <v>588125.6</v>
      </c>
      <c r="E11" s="138">
        <f>'Quadro Geral'!G7+'Quadro Geral'!G12</f>
        <v>577143.87</v>
      </c>
      <c r="F11" s="15">
        <f>IFERROR(E11/D11*100,)</f>
        <v>98.132757696655275</v>
      </c>
      <c r="G11" s="389"/>
      <c r="H11" s="171" t="b">
        <f>E11='Matriz de Obj. Estrat.'!J5</f>
        <v>1</v>
      </c>
      <c r="I11" s="158"/>
      <c r="J11" s="158"/>
      <c r="K11" s="398" t="s">
        <v>389</v>
      </c>
      <c r="L11" s="398"/>
      <c r="M11" s="153" t="s">
        <v>36</v>
      </c>
      <c r="N11" s="160">
        <f>(N4-N5)</f>
        <v>674637.65</v>
      </c>
      <c r="O11" s="161">
        <f>(O4-O5)</f>
        <v>686328.88</v>
      </c>
      <c r="P11" s="15">
        <f>IFERROR(O11/N11*100,0)</f>
        <v>101.73296435501338</v>
      </c>
      <c r="Q11" s="389"/>
      <c r="R11" s="157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</row>
    <row r="12" spans="1:31" ht="36" customHeight="1">
      <c r="A12" s="393"/>
      <c r="B12" s="396"/>
      <c r="C12" s="154" t="s">
        <v>37</v>
      </c>
      <c r="D12" s="156">
        <f>IFERROR(D11/$D$8,0)</f>
        <v>0.42504090036583153</v>
      </c>
      <c r="E12" s="156">
        <f>IFERROR(E11/$E$8,0)</f>
        <v>0.38761775168597218</v>
      </c>
      <c r="F12" s="155">
        <f>(E12-D12)*100</f>
        <v>-3.742314867985935</v>
      </c>
      <c r="G12" s="390"/>
      <c r="H12" s="159"/>
      <c r="I12" s="159"/>
      <c r="J12" s="158"/>
      <c r="K12" s="398"/>
      <c r="L12" s="398"/>
      <c r="M12" s="154" t="s">
        <v>37</v>
      </c>
      <c r="N12" s="162">
        <f>IFERROR(N11/N6,)</f>
        <v>0.46278749643213574</v>
      </c>
      <c r="O12" s="162">
        <f>IFERROR(O11/O6,)</f>
        <v>0.41721633908244166</v>
      </c>
      <c r="P12" s="155">
        <f>(O12-N12)*100</f>
        <v>-4.5571157349694076</v>
      </c>
      <c r="Q12" s="390"/>
      <c r="R12" s="163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</row>
    <row r="13" spans="1:31" ht="36" customHeight="1">
      <c r="A13" s="393"/>
      <c r="B13" s="395" t="s">
        <v>234</v>
      </c>
      <c r="C13" s="153" t="s">
        <v>36</v>
      </c>
      <c r="D13" s="138">
        <f>'Quadro Geral'!E10+'Quadro Geral'!E13</f>
        <v>236163.34999999998</v>
      </c>
      <c r="E13" s="139">
        <f>'Quadro Geral'!G10+'Quadro Geral'!G13</f>
        <v>234002.12</v>
      </c>
      <c r="F13" s="15">
        <f>IFERROR(E13/D13*100,)</f>
        <v>99.08485800188727</v>
      </c>
      <c r="G13" s="389"/>
      <c r="H13" s="171" t="b">
        <f>E13='Matriz de Obj. Estrat.'!J6</f>
        <v>1</v>
      </c>
      <c r="I13" s="158"/>
      <c r="J13" s="158"/>
      <c r="K13" s="394" t="s">
        <v>235</v>
      </c>
      <c r="L13" s="394"/>
      <c r="M13" s="153" t="s">
        <v>36</v>
      </c>
      <c r="N13" s="138">
        <v>24000</v>
      </c>
      <c r="O13" s="139">
        <f>'Quadro Geral'!G20</f>
        <v>24000</v>
      </c>
      <c r="P13" s="15">
        <f>IFERROR(O13/N13*100,0)</f>
        <v>100</v>
      </c>
      <c r="Q13" s="389" t="s">
        <v>391</v>
      </c>
      <c r="R13" s="171" t="b">
        <f>O13='Matriz de Obj. Estrat.'!J16</f>
        <v>1</v>
      </c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</row>
    <row r="14" spans="1:31" ht="36" customHeight="1">
      <c r="A14" s="393"/>
      <c r="B14" s="396"/>
      <c r="C14" s="154" t="s">
        <v>37</v>
      </c>
      <c r="D14" s="156">
        <f>IFERROR(D13/$D$8,0)</f>
        <v>0.17067626867018029</v>
      </c>
      <c r="E14" s="156">
        <f>IFERROR(E13/$E$8,0)</f>
        <v>0.15715903842858289</v>
      </c>
      <c r="F14" s="155">
        <f>(E14-D14)*100</f>
        <v>-1.35172302415974</v>
      </c>
      <c r="G14" s="390"/>
      <c r="H14" s="159"/>
      <c r="I14" s="159"/>
      <c r="J14" s="158"/>
      <c r="K14" s="394"/>
      <c r="L14" s="394"/>
      <c r="M14" s="154" t="s">
        <v>37</v>
      </c>
      <c r="N14" s="162">
        <f>IFERROR(N13/N4,)</f>
        <v>3.323374058282149E-2</v>
      </c>
      <c r="O14" s="162">
        <f>IFERROR(O13/O4,)</f>
        <v>3.317559719185157E-2</v>
      </c>
      <c r="P14" s="155">
        <f>(O14-N14)*100</f>
        <v>-5.8143390969919717E-3</v>
      </c>
      <c r="Q14" s="390"/>
      <c r="R14" s="163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</row>
    <row r="15" spans="1:31" ht="120.6" customHeight="1" thickBot="1">
      <c r="A15" s="393"/>
      <c r="B15" s="395" t="s">
        <v>236</v>
      </c>
      <c r="C15" s="153" t="s">
        <v>36</v>
      </c>
      <c r="D15" s="138">
        <f>'Quadro Geral'!E9</f>
        <v>41160.720000000001</v>
      </c>
      <c r="E15" s="139">
        <f>'Quadro Geral'!G9</f>
        <v>41084.410000000003</v>
      </c>
      <c r="F15" s="15">
        <f>IFERROR(E15/D15*100,)</f>
        <v>99.814604797972436</v>
      </c>
      <c r="G15" s="391" t="s">
        <v>578</v>
      </c>
      <c r="H15" s="171" t="b">
        <f>E15='Matriz de Obj. Estrat.'!J11</f>
        <v>1</v>
      </c>
      <c r="I15" s="158"/>
      <c r="J15" s="158"/>
      <c r="R15" s="145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</row>
    <row r="16" spans="1:31" ht="90.6" customHeight="1">
      <c r="A16" s="393"/>
      <c r="B16" s="396"/>
      <c r="C16" s="154" t="s">
        <v>37</v>
      </c>
      <c r="D16" s="156">
        <f>IFERROR(D15/$D$8,0)</f>
        <v>2.9747029356494412E-2</v>
      </c>
      <c r="E16" s="156">
        <f>IFERROR(E15/$E$8,0)</f>
        <v>2.7592854158781367E-2</v>
      </c>
      <c r="F16" s="155">
        <f>(E16-D16)*100</f>
        <v>-0.21541751977130452</v>
      </c>
      <c r="G16" s="392"/>
      <c r="H16" s="159"/>
      <c r="I16" s="159"/>
      <c r="J16" s="158"/>
      <c r="K16" s="399" t="s">
        <v>392</v>
      </c>
      <c r="L16" s="400"/>
      <c r="M16" s="400"/>
      <c r="N16" s="400"/>
      <c r="O16" s="400"/>
      <c r="P16" s="401"/>
      <c r="Q16" s="205"/>
    </row>
    <row r="17" spans="1:17" ht="36" customHeight="1">
      <c r="A17" s="393"/>
      <c r="B17" s="395" t="s">
        <v>237</v>
      </c>
      <c r="C17" s="153" t="s">
        <v>36</v>
      </c>
      <c r="D17" s="138">
        <f>'Quadro Geral'!E18</f>
        <v>10000</v>
      </c>
      <c r="E17" s="139">
        <f>'Quadro Geral'!G18</f>
        <v>9433.5499999999993</v>
      </c>
      <c r="F17" s="15">
        <f>IFERROR(E17/D17*100,)</f>
        <v>94.335499999999996</v>
      </c>
      <c r="G17" s="389"/>
      <c r="H17" s="157"/>
      <c r="I17" s="158"/>
      <c r="J17" s="158"/>
      <c r="K17" s="402"/>
      <c r="L17" s="403"/>
      <c r="M17" s="403"/>
      <c r="N17" s="403"/>
      <c r="O17" s="403"/>
      <c r="P17" s="404"/>
      <c r="Q17" s="205"/>
    </row>
    <row r="18" spans="1:17" ht="36" customHeight="1">
      <c r="A18" s="393"/>
      <c r="B18" s="396"/>
      <c r="C18" s="154" t="s">
        <v>37</v>
      </c>
      <c r="D18" s="156">
        <f>IFERROR(D17/$D$8,0)</f>
        <v>7.2270430051987458E-3</v>
      </c>
      <c r="E18" s="156">
        <f>IFERROR(E17/$E$8,0)</f>
        <v>6.3357017747016917E-3</v>
      </c>
      <c r="F18" s="155">
        <f>(E18-D18)*100</f>
        <v>-8.9134123049705416E-2</v>
      </c>
      <c r="G18" s="390"/>
      <c r="H18" s="159"/>
      <c r="I18" s="159"/>
      <c r="J18" s="158"/>
      <c r="K18" s="402"/>
      <c r="L18" s="403"/>
      <c r="M18" s="403"/>
      <c r="N18" s="403"/>
      <c r="O18" s="403"/>
      <c r="P18" s="404"/>
      <c r="Q18" s="205"/>
    </row>
    <row r="19" spans="1:17" ht="36" customHeight="1">
      <c r="A19" s="393"/>
      <c r="B19" s="395" t="s">
        <v>238</v>
      </c>
      <c r="C19" s="153" t="s">
        <v>36</v>
      </c>
      <c r="D19" s="138">
        <f>'Quadro Geral'!E9+'Quadro Geral'!E10+'Quadro Geral'!E13+'Quadro Geral'!E17</f>
        <v>383828.13</v>
      </c>
      <c r="E19" s="139">
        <f>'Quadro Geral'!G9+'Quadro Geral'!G10+'Quadro Geral'!G13+'Quadro Geral'!G17</f>
        <v>331655.87999999995</v>
      </c>
      <c r="F19" s="15">
        <f>IFERROR(E19/D19*100,)</f>
        <v>86.407392808859512</v>
      </c>
      <c r="G19" s="389"/>
      <c r="H19" s="157"/>
      <c r="I19" s="158"/>
      <c r="J19" s="158"/>
      <c r="K19" s="402"/>
      <c r="L19" s="403"/>
      <c r="M19" s="403"/>
      <c r="N19" s="403"/>
      <c r="O19" s="403"/>
      <c r="P19" s="404"/>
      <c r="Q19" s="205"/>
    </row>
    <row r="20" spans="1:17" ht="36" customHeight="1">
      <c r="A20" s="393"/>
      <c r="B20" s="396"/>
      <c r="C20" s="154" t="s">
        <v>37</v>
      </c>
      <c r="D20" s="156">
        <f>IFERROR(D19/$D$8,0)</f>
        <v>0.2773942402115015</v>
      </c>
      <c r="E20" s="156">
        <f>IFERROR(E19/$E$8,0)</f>
        <v>0.22274464517665682</v>
      </c>
      <c r="F20" s="155">
        <f>(E20-D20)*100</f>
        <v>-5.4649595034844678</v>
      </c>
      <c r="G20" s="390"/>
      <c r="H20" s="159"/>
      <c r="I20" s="159"/>
      <c r="J20" s="158"/>
      <c r="K20" s="402"/>
      <c r="L20" s="403"/>
      <c r="M20" s="403"/>
      <c r="N20" s="403"/>
      <c r="O20" s="403"/>
      <c r="P20" s="404"/>
      <c r="Q20" s="205"/>
    </row>
    <row r="21" spans="1:17" ht="36" customHeight="1" thickBot="1">
      <c r="A21" s="393"/>
      <c r="B21" s="395" t="s">
        <v>239</v>
      </c>
      <c r="C21" s="153" t="s">
        <v>36</v>
      </c>
      <c r="D21" s="138">
        <f>'Quadro Geral'!E21+'Quadro Geral'!E22</f>
        <v>151296.10999999999</v>
      </c>
      <c r="E21" s="139">
        <f>'Quadro Geral'!G21+'Quadro Geral'!G22</f>
        <v>27250</v>
      </c>
      <c r="F21" s="15">
        <f>IFERROR(E21/D21*100,)</f>
        <v>18.011038089478969</v>
      </c>
      <c r="G21" s="391" t="s">
        <v>627</v>
      </c>
      <c r="H21" s="157"/>
      <c r="I21" s="158"/>
      <c r="J21" s="158"/>
      <c r="K21" s="405"/>
      <c r="L21" s="406"/>
      <c r="M21" s="406"/>
      <c r="N21" s="406"/>
      <c r="O21" s="406"/>
      <c r="P21" s="407"/>
      <c r="Q21" s="205"/>
    </row>
    <row r="22" spans="1:17" ht="36" customHeight="1">
      <c r="A22" s="393"/>
      <c r="B22" s="396"/>
      <c r="C22" s="154" t="s">
        <v>37</v>
      </c>
      <c r="D22" s="156">
        <f>IFERROR(D21/$D$8,0)</f>
        <v>0.10934234934892799</v>
      </c>
      <c r="E22" s="156">
        <f>IFERROR(E21/$E$8,0)</f>
        <v>1.8301474350654962E-2</v>
      </c>
      <c r="F22" s="155">
        <f>(E22-D22)*100</f>
        <v>-9.1040874998273029</v>
      </c>
      <c r="G22" s="392"/>
      <c r="H22" s="159"/>
      <c r="I22" s="159"/>
      <c r="J22" s="158"/>
    </row>
    <row r="23" spans="1:17" ht="36" customHeight="1">
      <c r="A23" s="393"/>
      <c r="B23" s="395" t="s">
        <v>240</v>
      </c>
      <c r="C23" s="153" t="s">
        <v>36</v>
      </c>
      <c r="D23" s="138">
        <f>'Quadro Geral'!E19</f>
        <v>2000</v>
      </c>
      <c r="E23" s="138">
        <f>'Quadro Geral'!G19</f>
        <v>2000</v>
      </c>
      <c r="F23" s="15">
        <f>IFERROR(E23/D23*100,)</f>
        <v>100</v>
      </c>
      <c r="G23" s="389" t="s">
        <v>391</v>
      </c>
      <c r="H23" s="157"/>
      <c r="I23" s="158"/>
      <c r="J23" s="158"/>
    </row>
    <row r="24" spans="1:17" ht="36" customHeight="1">
      <c r="A24" s="393"/>
      <c r="B24" s="396"/>
      <c r="C24" s="154" t="s">
        <v>37</v>
      </c>
      <c r="D24" s="156">
        <f>IFERROR(D23/$D$8,0)</f>
        <v>1.445408601039749E-3</v>
      </c>
      <c r="E24" s="156">
        <f>IFERROR(E23/$E$8,0)</f>
        <v>1.3432274752774283E-3</v>
      </c>
      <c r="F24" s="155">
        <f>(E24-D24)*100</f>
        <v>-1.021811257623207E-2</v>
      </c>
      <c r="G24" s="390"/>
      <c r="H24" s="159"/>
      <c r="I24" s="159"/>
      <c r="J24" s="158"/>
    </row>
    <row r="25" spans="1:17">
      <c r="B25" s="120"/>
    </row>
    <row r="26" spans="1:17"/>
    <row r="27" spans="1:17"/>
    <row r="28" spans="1:17"/>
  </sheetData>
  <sheetProtection selectLockedCells="1"/>
  <protectedRanges>
    <protectedRange algorithmName="SHA-512" hashValue="oBu0U8UHWW1M9CSBiI+2smTKBuiu7zBMJPASzxaVW3/YfTocFsZXqoNbgPAUiXKweXnE/VLNBYi0YQjO9aRFIA==" saltValue="Uwn4xh4BFhDBBJp6oLNp+A==" spinCount="100000" sqref="S3:S6 S8" name="Indicadores"/>
  </protectedRanges>
  <mergeCells count="39">
    <mergeCell ref="S4:AB5"/>
    <mergeCell ref="S6:AB7"/>
    <mergeCell ref="S8:AB9"/>
    <mergeCell ref="A3:A8"/>
    <mergeCell ref="B3:C3"/>
    <mergeCell ref="K3:K6"/>
    <mergeCell ref="L3:M3"/>
    <mergeCell ref="B4:C4"/>
    <mergeCell ref="L4:M4"/>
    <mergeCell ref="B5:C5"/>
    <mergeCell ref="L5:M5"/>
    <mergeCell ref="B6:C6"/>
    <mergeCell ref="L6:M6"/>
    <mergeCell ref="B7:C7"/>
    <mergeCell ref="K7:L7"/>
    <mergeCell ref="A1:P1"/>
    <mergeCell ref="B8:C8"/>
    <mergeCell ref="A10:A24"/>
    <mergeCell ref="K13:L14"/>
    <mergeCell ref="B15:B16"/>
    <mergeCell ref="B10:C10"/>
    <mergeCell ref="K10:M10"/>
    <mergeCell ref="B11:B12"/>
    <mergeCell ref="K11:L12"/>
    <mergeCell ref="B13:B14"/>
    <mergeCell ref="B21:B22"/>
    <mergeCell ref="B19:B20"/>
    <mergeCell ref="B23:B24"/>
    <mergeCell ref="B17:B18"/>
    <mergeCell ref="K16:P21"/>
    <mergeCell ref="G21:G22"/>
    <mergeCell ref="G23:G24"/>
    <mergeCell ref="Q11:Q12"/>
    <mergeCell ref="Q13:Q14"/>
    <mergeCell ref="G11:G12"/>
    <mergeCell ref="G13:G14"/>
    <mergeCell ref="G15:G16"/>
    <mergeCell ref="G17:G18"/>
    <mergeCell ref="G19:G20"/>
  </mergeCells>
  <phoneticPr fontId="18" type="noConversion"/>
  <conditionalFormatting sqref="G4">
    <cfRule type="cellIs" dxfId="41" priority="22" operator="equal">
      <formula>FALSE</formula>
    </cfRule>
    <cfRule type="cellIs" dxfId="40" priority="28" operator="equal">
      <formula>TRUE</formula>
    </cfRule>
  </conditionalFormatting>
  <conditionalFormatting sqref="G5">
    <cfRule type="cellIs" dxfId="39" priority="20" operator="equal">
      <formula>FALSE</formula>
    </cfRule>
    <cfRule type="cellIs" dxfId="38" priority="21" operator="equal">
      <formula>TRUE</formula>
    </cfRule>
  </conditionalFormatting>
  <conditionalFormatting sqref="H11">
    <cfRule type="cellIs" dxfId="37" priority="18" operator="equal">
      <formula>FALSE</formula>
    </cfRule>
    <cfRule type="cellIs" dxfId="36" priority="19" operator="equal">
      <formula>TRUE</formula>
    </cfRule>
  </conditionalFormatting>
  <conditionalFormatting sqref="H13">
    <cfRule type="cellIs" dxfId="35" priority="16" operator="equal">
      <formula>FALSE</formula>
    </cfRule>
    <cfRule type="cellIs" dxfId="34" priority="17" operator="equal">
      <formula>TRUE</formula>
    </cfRule>
  </conditionalFormatting>
  <conditionalFormatting sqref="H15">
    <cfRule type="cellIs" dxfId="33" priority="14" operator="equal">
      <formula>FALSE</formula>
    </cfRule>
    <cfRule type="cellIs" dxfId="32" priority="15" operator="equal">
      <formula>TRUE</formula>
    </cfRule>
  </conditionalFormatting>
  <conditionalFormatting sqref="R13">
    <cfRule type="cellIs" dxfId="31" priority="12" operator="equal">
      <formula>FALSE</formula>
    </cfRule>
    <cfRule type="cellIs" dxfId="30" priority="13" operator="equal">
      <formula>TRUE</formula>
    </cfRule>
  </conditionalFormatting>
  <conditionalFormatting sqref="E12">
    <cfRule type="cellIs" dxfId="29" priority="11" operator="lessThan">
      <formula>0.15</formula>
    </cfRule>
  </conditionalFormatting>
  <conditionalFormatting sqref="E14">
    <cfRule type="cellIs" dxfId="28" priority="10" operator="lessThan">
      <formula>0.1</formula>
    </cfRule>
  </conditionalFormatting>
  <conditionalFormatting sqref="E18">
    <cfRule type="cellIs" dxfId="27" priority="6" operator="greaterThan">
      <formula>0.05</formula>
    </cfRule>
    <cfRule type="cellIs" dxfId="26" priority="8" operator="greaterThan">
      <formula>0.05</formula>
    </cfRule>
  </conditionalFormatting>
  <conditionalFormatting sqref="E16">
    <cfRule type="cellIs" dxfId="25" priority="7" operator="lessThan">
      <formula>0.03</formula>
    </cfRule>
  </conditionalFormatting>
  <conditionalFormatting sqref="E20">
    <cfRule type="cellIs" dxfId="24" priority="5" operator="lessThan">
      <formula>0.06</formula>
    </cfRule>
  </conditionalFormatting>
  <conditionalFormatting sqref="E22">
    <cfRule type="cellIs" dxfId="23" priority="4" operator="lessThan">
      <formula>0.02</formula>
    </cfRule>
  </conditionalFormatting>
  <conditionalFormatting sqref="E24">
    <cfRule type="cellIs" dxfId="22" priority="3" operator="greaterThan">
      <formula>0.02</formula>
    </cfRule>
  </conditionalFormatting>
  <conditionalFormatting sqref="O12">
    <cfRule type="cellIs" dxfId="21" priority="2" operator="greaterThan">
      <formula>0.6</formula>
    </cfRule>
  </conditionalFormatting>
  <conditionalFormatting sqref="O14">
    <cfRule type="cellIs" dxfId="20" priority="1" operator="between">
      <formula>0.02</formula>
      <formula>0.04</formula>
    </cfRule>
  </conditionalFormatting>
  <pageMargins left="0.51181102362204722" right="0.51181102362204722" top="0.35433070866141736" bottom="0.78740157480314965" header="0.31496062992125984" footer="0.31496062992125984"/>
  <pageSetup paperSize="9" scale="50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AW34"/>
  <sheetViews>
    <sheetView topLeftCell="E1" zoomScale="150" zoomScaleNormal="150" workbookViewId="0">
      <selection activeCell="J9" sqref="J9"/>
    </sheetView>
  </sheetViews>
  <sheetFormatPr defaultRowHeight="15.6"/>
  <cols>
    <col min="1" max="1" width="48.6640625" style="2" bestFit="1" customWidth="1"/>
    <col min="2" max="2" width="42.5546875" style="2" bestFit="1" customWidth="1"/>
    <col min="3" max="3" width="46.33203125" style="2" bestFit="1" customWidth="1"/>
    <col min="4" max="4" width="127.88671875" style="2" customWidth="1"/>
    <col min="5" max="8" width="9.109375" style="2"/>
    <col min="9" max="9" width="13.5546875" style="2" bestFit="1" customWidth="1"/>
    <col min="10" max="49" width="9.109375" style="2"/>
  </cols>
  <sheetData>
    <row r="1" spans="1:7">
      <c r="A1" s="2" t="s">
        <v>66</v>
      </c>
      <c r="B1" s="4" t="s">
        <v>46</v>
      </c>
      <c r="C1" s="4" t="s">
        <v>111</v>
      </c>
      <c r="D1" s="2" t="s">
        <v>24</v>
      </c>
      <c r="E1" s="2" t="s">
        <v>226</v>
      </c>
      <c r="G1" s="2" t="s">
        <v>278</v>
      </c>
    </row>
    <row r="2" spans="1:7">
      <c r="A2" s="2" t="s">
        <v>74</v>
      </c>
      <c r="B2" s="4" t="s">
        <v>31</v>
      </c>
      <c r="C2" s="4" t="s">
        <v>112</v>
      </c>
      <c r="D2" s="2" t="s">
        <v>82</v>
      </c>
      <c r="E2" s="2" t="s">
        <v>227</v>
      </c>
      <c r="G2" s="2" t="s">
        <v>276</v>
      </c>
    </row>
    <row r="3" spans="1:7">
      <c r="A3" s="2" t="s">
        <v>75</v>
      </c>
      <c r="B3" s="3" t="s">
        <v>29</v>
      </c>
      <c r="C3" s="4" t="s">
        <v>83</v>
      </c>
      <c r="D3" s="2" t="s">
        <v>20</v>
      </c>
      <c r="E3" s="2" t="s">
        <v>228</v>
      </c>
      <c r="G3" s="2" t="s">
        <v>274</v>
      </c>
    </row>
    <row r="4" spans="1:7">
      <c r="A4" s="2" t="s">
        <v>76</v>
      </c>
      <c r="B4" s="5" t="s">
        <v>104</v>
      </c>
      <c r="C4" s="4" t="s">
        <v>84</v>
      </c>
      <c r="D4" s="2" t="s">
        <v>23</v>
      </c>
      <c r="E4" s="2" t="s">
        <v>229</v>
      </c>
      <c r="G4" s="2" t="s">
        <v>272</v>
      </c>
    </row>
    <row r="5" spans="1:7">
      <c r="A5" s="2" t="s">
        <v>67</v>
      </c>
      <c r="B5" s="5" t="s">
        <v>105</v>
      </c>
      <c r="C5" s="4" t="s">
        <v>85</v>
      </c>
      <c r="D5" s="2" t="s">
        <v>26</v>
      </c>
      <c r="E5" s="2" t="s">
        <v>230</v>
      </c>
      <c r="G5" s="2" t="s">
        <v>270</v>
      </c>
    </row>
    <row r="6" spans="1:7">
      <c r="A6" s="2" t="s">
        <v>77</v>
      </c>
      <c r="B6" s="5" t="s">
        <v>106</v>
      </c>
      <c r="C6" s="4" t="s">
        <v>86</v>
      </c>
      <c r="D6" s="2" t="s">
        <v>25</v>
      </c>
      <c r="E6" s="2" t="s">
        <v>231</v>
      </c>
      <c r="G6" s="2" t="s">
        <v>268</v>
      </c>
    </row>
    <row r="7" spans="1:7">
      <c r="A7" s="2" t="s">
        <v>180</v>
      </c>
      <c r="B7" s="5" t="s">
        <v>107</v>
      </c>
      <c r="C7" s="4" t="s">
        <v>87</v>
      </c>
      <c r="D7" s="2" t="s">
        <v>88</v>
      </c>
      <c r="G7" s="2" t="s">
        <v>266</v>
      </c>
    </row>
    <row r="8" spans="1:7">
      <c r="A8" s="2" t="s">
        <v>68</v>
      </c>
      <c r="B8" s="5" t="s">
        <v>108</v>
      </c>
      <c r="C8" s="4" t="s">
        <v>89</v>
      </c>
      <c r="D8" s="2" t="s">
        <v>17</v>
      </c>
      <c r="G8" s="2" t="s">
        <v>265</v>
      </c>
    </row>
    <row r="9" spans="1:7">
      <c r="A9" s="2" t="s">
        <v>78</v>
      </c>
      <c r="B9" s="5" t="s">
        <v>115</v>
      </c>
      <c r="C9" s="4" t="s">
        <v>90</v>
      </c>
      <c r="D9" s="2" t="s">
        <v>22</v>
      </c>
      <c r="G9" s="2" t="s">
        <v>263</v>
      </c>
    </row>
    <row r="10" spans="1:7">
      <c r="A10" s="2" t="s">
        <v>69</v>
      </c>
      <c r="B10" s="4" t="s">
        <v>30</v>
      </c>
      <c r="C10" s="4" t="s">
        <v>91</v>
      </c>
      <c r="D10" s="2" t="s">
        <v>114</v>
      </c>
      <c r="G10" s="2" t="s">
        <v>262</v>
      </c>
    </row>
    <row r="11" spans="1:7">
      <c r="A11" s="2" t="s">
        <v>70</v>
      </c>
      <c r="B11" s="4" t="s">
        <v>0</v>
      </c>
      <c r="C11" s="4" t="s">
        <v>92</v>
      </c>
      <c r="D11" s="2" t="s">
        <v>14</v>
      </c>
      <c r="G11" s="2" t="s">
        <v>259</v>
      </c>
    </row>
    <row r="12" spans="1:7">
      <c r="A12" s="2" t="s">
        <v>79</v>
      </c>
      <c r="C12" s="4" t="s">
        <v>93</v>
      </c>
      <c r="D12" s="2" t="s">
        <v>94</v>
      </c>
      <c r="G12" s="2" t="s">
        <v>257</v>
      </c>
    </row>
    <row r="13" spans="1:7">
      <c r="A13" s="2" t="s">
        <v>80</v>
      </c>
      <c r="B13" s="3"/>
      <c r="C13" s="4" t="s">
        <v>95</v>
      </c>
      <c r="D13" s="2" t="s">
        <v>21</v>
      </c>
      <c r="G13" s="2" t="s">
        <v>255</v>
      </c>
    </row>
    <row r="14" spans="1:7">
      <c r="A14" s="2" t="s">
        <v>71</v>
      </c>
      <c r="B14" s="3"/>
      <c r="C14" s="4" t="s">
        <v>96</v>
      </c>
      <c r="D14" s="2" t="s">
        <v>27</v>
      </c>
      <c r="G14" s="2" t="s">
        <v>253</v>
      </c>
    </row>
    <row r="15" spans="1:7">
      <c r="A15" s="2" t="s">
        <v>81</v>
      </c>
      <c r="B15" s="3"/>
      <c r="C15" s="4" t="s">
        <v>97</v>
      </c>
      <c r="D15" s="2" t="s">
        <v>15</v>
      </c>
      <c r="G15" s="2" t="s">
        <v>252</v>
      </c>
    </row>
    <row r="16" spans="1:7">
      <c r="A16" s="2" t="s">
        <v>72</v>
      </c>
      <c r="B16" s="3"/>
      <c r="C16" s="4" t="s">
        <v>98</v>
      </c>
      <c r="D16" s="2" t="s">
        <v>113</v>
      </c>
      <c r="G16" s="2" t="s">
        <v>228</v>
      </c>
    </row>
    <row r="17" spans="1:7">
      <c r="A17" s="2" t="s">
        <v>73</v>
      </c>
      <c r="B17" s="3"/>
      <c r="C17" s="4" t="s">
        <v>99</v>
      </c>
      <c r="G17" s="2" t="s">
        <v>251</v>
      </c>
    </row>
    <row r="18" spans="1:7">
      <c r="B18" s="3"/>
      <c r="C18" s="4" t="s">
        <v>100</v>
      </c>
      <c r="G18" s="2" t="s">
        <v>250</v>
      </c>
    </row>
    <row r="19" spans="1:7">
      <c r="C19" s="4" t="s">
        <v>101</v>
      </c>
      <c r="G19" s="2" t="s">
        <v>249</v>
      </c>
    </row>
    <row r="20" spans="1:7">
      <c r="C20" s="4" t="s">
        <v>102</v>
      </c>
      <c r="G20" s="2" t="s">
        <v>248</v>
      </c>
    </row>
    <row r="21" spans="1:7">
      <c r="C21" s="4" t="s">
        <v>103</v>
      </c>
      <c r="G21" s="2" t="s">
        <v>247</v>
      </c>
    </row>
    <row r="22" spans="1:7">
      <c r="G22" s="2" t="s">
        <v>246</v>
      </c>
    </row>
    <row r="23" spans="1:7">
      <c r="G23" s="2" t="s">
        <v>245</v>
      </c>
    </row>
    <row r="24" spans="1:7">
      <c r="G24" s="2" t="s">
        <v>244</v>
      </c>
    </row>
    <row r="25" spans="1:7">
      <c r="G25" s="2" t="s">
        <v>243</v>
      </c>
    </row>
    <row r="26" spans="1:7">
      <c r="G26" s="2" t="s">
        <v>242</v>
      </c>
    </row>
    <row r="27" spans="1:7">
      <c r="G27" s="2" t="s">
        <v>241</v>
      </c>
    </row>
    <row r="28" spans="1:7">
      <c r="G28" s="2" t="s">
        <v>329</v>
      </c>
    </row>
    <row r="34" spans="1:1">
      <c r="A34" s="2" t="s">
        <v>326</v>
      </c>
    </row>
  </sheetData>
  <sortState xmlns:xlrd2="http://schemas.microsoft.com/office/spreadsheetml/2017/richdata2" ref="D1:D15">
    <sortCondition ref="D1"/>
  </sortState>
  <pageMargins left="0.511811024" right="0.511811024" top="0.78740157499999996" bottom="0.78740157499999996" header="0.31496062000000002" footer="0.31496062000000002"/>
  <pageSetup paperSize="2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AR36"/>
  <sheetViews>
    <sheetView showGridLines="0" topLeftCell="A2" zoomScale="120" zoomScaleNormal="120" workbookViewId="0">
      <pane xSplit="1" ySplit="2" topLeftCell="W4" activePane="bottomRight" state="frozen"/>
      <selection activeCell="H17" sqref="H17"/>
      <selection pane="topRight" activeCell="H17" sqref="H17"/>
      <selection pane="bottomLeft" activeCell="H17" sqref="H17"/>
      <selection pane="bottomRight" activeCell="J28" sqref="J28"/>
    </sheetView>
  </sheetViews>
  <sheetFormatPr defaultColWidth="9.109375" defaultRowHeight="15.6" zeroHeight="1" outlineLevelCol="1"/>
  <cols>
    <col min="1" max="1" width="13.33203125" style="22" hidden="1" customWidth="1" outlineLevel="1"/>
    <col min="2" max="2" width="15.44140625" style="21" hidden="1" customWidth="1" outlineLevel="1"/>
    <col min="3" max="9" width="15.5546875" style="21" hidden="1" customWidth="1" outlineLevel="1"/>
    <col min="10" max="10" width="16.109375" style="19" hidden="1" customWidth="1" outlineLevel="1"/>
    <col min="11" max="11" width="13.33203125" style="20" hidden="1" customWidth="1" outlineLevel="1"/>
    <col min="12" max="14" width="15.44140625" style="19" hidden="1" customWidth="1" outlineLevel="1"/>
    <col min="15" max="15" width="2.33203125" style="19" hidden="1" customWidth="1" outlineLevel="1"/>
    <col min="16" max="17" width="16.44140625" style="19" hidden="1" customWidth="1" outlineLevel="1"/>
    <col min="18" max="18" width="5.6640625" style="18" hidden="1" customWidth="1" outlineLevel="1"/>
    <col min="19" max="19" width="15.44140625" style="19" hidden="1" customWidth="1" outlineLevel="1"/>
    <col min="20" max="20" width="2.88671875" style="18" hidden="1" customWidth="1" outlineLevel="1"/>
    <col min="21" max="21" width="16.109375" style="19" hidden="1" customWidth="1" outlineLevel="1"/>
    <col min="22" max="22" width="2.88671875" style="18" hidden="1" customWidth="1" outlineLevel="1"/>
    <col min="23" max="23" width="16.44140625" style="16" hidden="1" customWidth="1" outlineLevel="1"/>
    <col min="24" max="24" width="19.88671875" style="16" hidden="1" customWidth="1" outlineLevel="1"/>
    <col min="25" max="25" width="16.44140625" style="17" hidden="1" customWidth="1" outlineLevel="1"/>
    <col min="26" max="26" width="16.44140625" style="16" hidden="1" customWidth="1" outlineLevel="1"/>
    <col min="27" max="27" width="16.44140625" style="17" hidden="1" customWidth="1" outlineLevel="1"/>
    <col min="28" max="28" width="16.44140625" style="16" hidden="1" customWidth="1" outlineLevel="1"/>
    <col min="29" max="29" width="2.88671875" hidden="1" customWidth="1" outlineLevel="1"/>
    <col min="30" max="30" width="11.33203125" hidden="1" customWidth="1" outlineLevel="1"/>
    <col min="31" max="31" width="3.33203125" hidden="1" customWidth="1" outlineLevel="1"/>
    <col min="32" max="32" width="18.88671875" hidden="1" customWidth="1" outlineLevel="1"/>
    <col min="33" max="33" width="4.6640625" hidden="1" customWidth="1" outlineLevel="1"/>
    <col min="34" max="34" width="18.88671875" style="16" hidden="1" customWidth="1" outlineLevel="1"/>
    <col min="35" max="35" width="9.88671875" hidden="1" customWidth="1" outlineLevel="1"/>
    <col min="36" max="36" width="39.109375" style="1" bestFit="1" customWidth="1" collapsed="1"/>
    <col min="37" max="37" width="15.6640625" style="1" bestFit="1" customWidth="1"/>
    <col min="38" max="38" width="1" customWidth="1"/>
    <col min="39" max="39" width="39" style="1" bestFit="1" customWidth="1"/>
    <col min="40" max="40" width="15.5546875" bestFit="1" customWidth="1"/>
    <col min="44" max="44" width="12.44140625" bestFit="1" customWidth="1"/>
  </cols>
  <sheetData>
    <row r="1" spans="1:44" ht="16.5" hidden="1" customHeight="1" thickBot="1">
      <c r="A1" s="434" t="s">
        <v>304</v>
      </c>
      <c r="B1" s="430">
        <v>0.8</v>
      </c>
      <c r="C1" s="430"/>
      <c r="D1" s="430"/>
      <c r="E1" s="430"/>
      <c r="F1" s="430"/>
      <c r="G1" s="430"/>
      <c r="H1" s="430"/>
      <c r="I1" s="430"/>
      <c r="J1" s="430"/>
      <c r="L1" s="424" t="s">
        <v>303</v>
      </c>
      <c r="M1" s="425"/>
      <c r="N1" s="426"/>
      <c r="P1" s="425" t="s">
        <v>302</v>
      </c>
      <c r="Q1" s="425"/>
      <c r="S1" s="425" t="s">
        <v>301</v>
      </c>
      <c r="U1" s="425" t="s">
        <v>300</v>
      </c>
      <c r="W1" s="430" t="s">
        <v>299</v>
      </c>
      <c r="X1" s="430"/>
      <c r="Y1" s="430"/>
      <c r="Z1" s="430"/>
      <c r="AA1" s="430"/>
      <c r="AB1" s="430"/>
    </row>
    <row r="2" spans="1:44" s="54" customFormat="1" ht="16.2" thickBot="1">
      <c r="A2" s="434"/>
      <c r="B2" s="431" t="s">
        <v>297</v>
      </c>
      <c r="C2" s="431"/>
      <c r="D2" s="431"/>
      <c r="E2" s="431" t="s">
        <v>296</v>
      </c>
      <c r="F2" s="431"/>
      <c r="G2" s="431"/>
      <c r="H2" s="421" t="s">
        <v>295</v>
      </c>
      <c r="I2" s="421" t="s">
        <v>298</v>
      </c>
      <c r="J2" s="423" t="s">
        <v>305</v>
      </c>
      <c r="K2" s="60"/>
      <c r="L2" s="427"/>
      <c r="M2" s="428"/>
      <c r="N2" s="429"/>
      <c r="O2" s="59"/>
      <c r="P2" s="428"/>
      <c r="Q2" s="428"/>
      <c r="R2" s="58"/>
      <c r="S2" s="428"/>
      <c r="T2" s="58"/>
      <c r="U2" s="428"/>
      <c r="V2" s="58"/>
      <c r="W2" s="431" t="s">
        <v>297</v>
      </c>
      <c r="X2" s="431"/>
      <c r="Y2" s="431"/>
      <c r="Z2" s="431" t="s">
        <v>296</v>
      </c>
      <c r="AA2" s="431"/>
      <c r="AB2" s="57" t="s">
        <v>295</v>
      </c>
      <c r="AD2" s="432" t="s">
        <v>269</v>
      </c>
      <c r="AF2" s="432" t="s">
        <v>294</v>
      </c>
      <c r="AH2" s="435" t="s">
        <v>323</v>
      </c>
      <c r="AJ2" s="56" t="s">
        <v>293</v>
      </c>
      <c r="AK2" s="55" t="e">
        <f>'Indicadores e Metas'!#REF!</f>
        <v>#REF!</v>
      </c>
      <c r="AM2" s="419" t="s">
        <v>292</v>
      </c>
      <c r="AN2" s="420"/>
    </row>
    <row r="3" spans="1:44" s="43" customFormat="1" ht="20.25" customHeight="1" thickBot="1">
      <c r="A3" s="434"/>
      <c r="B3" s="51" t="s">
        <v>291</v>
      </c>
      <c r="C3" s="51" t="s">
        <v>290</v>
      </c>
      <c r="D3" s="51" t="s">
        <v>289</v>
      </c>
      <c r="E3" s="51" t="s">
        <v>291</v>
      </c>
      <c r="F3" s="51" t="s">
        <v>290</v>
      </c>
      <c r="G3" s="51" t="s">
        <v>289</v>
      </c>
      <c r="H3" s="422"/>
      <c r="I3" s="422"/>
      <c r="J3" s="422"/>
      <c r="K3" s="53"/>
      <c r="L3" s="51" t="s">
        <v>288</v>
      </c>
      <c r="M3" s="51" t="s">
        <v>287</v>
      </c>
      <c r="N3" s="51" t="s">
        <v>286</v>
      </c>
      <c r="O3" s="52"/>
      <c r="P3" s="63" t="s">
        <v>285</v>
      </c>
      <c r="Q3" s="63" t="s">
        <v>284</v>
      </c>
      <c r="R3" s="49"/>
      <c r="S3" s="50" t="s">
        <v>283</v>
      </c>
      <c r="T3" s="49"/>
      <c r="U3" s="50" t="s">
        <v>282</v>
      </c>
      <c r="V3" s="49"/>
      <c r="W3" s="48" t="s">
        <v>306</v>
      </c>
      <c r="X3" s="48" t="s">
        <v>307</v>
      </c>
      <c r="Y3" s="46" t="s">
        <v>281</v>
      </c>
      <c r="Z3" s="47" t="s">
        <v>280</v>
      </c>
      <c r="AA3" s="46" t="s">
        <v>281</v>
      </c>
      <c r="AB3" s="45" t="s">
        <v>280</v>
      </c>
      <c r="AD3" s="433"/>
      <c r="AF3" s="433"/>
      <c r="AH3" s="435"/>
      <c r="AJ3" s="38" t="s">
        <v>5</v>
      </c>
      <c r="AK3" s="44" t="e">
        <f>AK4+AK14+AK15+AK16</f>
        <v>#REF!</v>
      </c>
      <c r="AM3" s="38" t="s">
        <v>279</v>
      </c>
      <c r="AN3" s="37" t="e">
        <f>VLOOKUP($AK$2,'Diretrizes - Resumo'!$A$4:$Q$30,16,)</f>
        <v>#REF!</v>
      </c>
    </row>
    <row r="4" spans="1:44" ht="16.2" thickBot="1">
      <c r="A4" s="28" t="s">
        <v>278</v>
      </c>
      <c r="B4" s="21">
        <v>173779.93599999999</v>
      </c>
      <c r="C4" s="21">
        <v>28680.296000000002</v>
      </c>
      <c r="D4" s="21">
        <f t="shared" ref="D4" si="0">B4+C4</f>
        <v>202460.23199999999</v>
      </c>
      <c r="E4" s="21">
        <v>26559.703999999998</v>
      </c>
      <c r="F4" s="21">
        <v>7609.2720000000008</v>
      </c>
      <c r="G4" s="21">
        <f t="shared" ref="G4" si="1">E4+F4</f>
        <v>34168.975999999995</v>
      </c>
      <c r="H4" s="21">
        <v>235854.82</v>
      </c>
      <c r="I4" s="21">
        <v>24707.91</v>
      </c>
      <c r="J4" s="27">
        <f t="shared" ref="J4:J30" si="2">I4+H4+G4+D4</f>
        <v>497191.93799999997</v>
      </c>
      <c r="K4" s="61">
        <v>0</v>
      </c>
      <c r="L4" s="21">
        <v>9108.9120471532424</v>
      </c>
      <c r="M4" s="21">
        <v>17240</v>
      </c>
      <c r="N4" s="21">
        <v>754537.39605743252</v>
      </c>
      <c r="P4" s="21">
        <v>39070.160000000003</v>
      </c>
      <c r="Q4" s="21">
        <v>4657.0560574324481</v>
      </c>
      <c r="R4" s="62">
        <v>0</v>
      </c>
      <c r="S4" s="21"/>
      <c r="U4" s="21">
        <v>2525.3977976760007</v>
      </c>
      <c r="W4" s="25">
        <v>736</v>
      </c>
      <c r="X4" s="25">
        <v>725</v>
      </c>
      <c r="Y4" s="26">
        <v>36.137931034482762</v>
      </c>
      <c r="Z4" s="25">
        <v>146</v>
      </c>
      <c r="AA4" s="26">
        <v>52.054794520547951</v>
      </c>
      <c r="AB4" s="25">
        <v>2724</v>
      </c>
      <c r="AD4" s="18">
        <v>0</v>
      </c>
      <c r="AF4" s="18">
        <v>669680.75</v>
      </c>
      <c r="AG4" s="54"/>
      <c r="AH4" s="119">
        <v>906876</v>
      </c>
      <c r="AJ4" s="32" t="s">
        <v>54</v>
      </c>
      <c r="AK4" s="42" t="e">
        <f>AK5+AK12+AK13</f>
        <v>#REF!</v>
      </c>
      <c r="AM4" s="32" t="s">
        <v>277</v>
      </c>
      <c r="AN4" s="37" t="e">
        <f>VLOOKUP($AK$2,'Diretrizes - Resumo'!$A$4:$Q$30,17,)</f>
        <v>#REF!</v>
      </c>
      <c r="AR4" s="24"/>
    </row>
    <row r="5" spans="1:44" ht="16.2" thickBot="1">
      <c r="A5" s="28" t="s">
        <v>276</v>
      </c>
      <c r="B5" s="21">
        <v>529644.17599999998</v>
      </c>
      <c r="C5" s="21">
        <v>119850.66399999999</v>
      </c>
      <c r="D5" s="21">
        <f t="shared" ref="D5:D30" si="3">B5+C5</f>
        <v>649494.84</v>
      </c>
      <c r="E5" s="21">
        <v>28274.615999999998</v>
      </c>
      <c r="F5" s="21">
        <v>19201.423999999999</v>
      </c>
      <c r="G5" s="21">
        <f t="shared" ref="G5:G30" si="4">E5+F5</f>
        <v>47476.039999999994</v>
      </c>
      <c r="H5" s="21">
        <v>623231.63</v>
      </c>
      <c r="I5" s="21">
        <v>85690.17</v>
      </c>
      <c r="J5" s="27">
        <f t="shared" si="2"/>
        <v>1405892.6800000002</v>
      </c>
      <c r="K5" s="61">
        <v>0</v>
      </c>
      <c r="L5" s="21">
        <v>25584.128262041868</v>
      </c>
      <c r="M5" s="21"/>
      <c r="N5" s="21"/>
      <c r="P5" s="21">
        <v>109736.05</v>
      </c>
      <c r="Q5" s="21">
        <v>12970.234884836624</v>
      </c>
      <c r="R5" s="62">
        <v>0</v>
      </c>
      <c r="S5" s="21"/>
      <c r="U5" s="21">
        <v>5973.4512300060005</v>
      </c>
      <c r="W5" s="25">
        <v>2183</v>
      </c>
      <c r="X5" s="25">
        <v>2095</v>
      </c>
      <c r="Y5" s="26">
        <v>32.410501193317415</v>
      </c>
      <c r="Z5" s="25">
        <v>174</v>
      </c>
      <c r="AA5" s="26">
        <v>56.896551724137936</v>
      </c>
      <c r="AB5" s="25">
        <v>7198</v>
      </c>
      <c r="AD5" s="18">
        <v>0</v>
      </c>
      <c r="AF5" s="18">
        <v>459563.48000000004</v>
      </c>
      <c r="AG5" s="18"/>
      <c r="AH5" s="119">
        <v>3365351</v>
      </c>
      <c r="AJ5" s="32" t="s">
        <v>6</v>
      </c>
      <c r="AK5" s="42" t="e">
        <f>AK6+AK9</f>
        <v>#REF!</v>
      </c>
      <c r="AM5" s="32" t="s">
        <v>275</v>
      </c>
      <c r="AN5" s="37" t="e">
        <f>VLOOKUP($AK$2,'Diretrizes - Resumo'!$A$4:$S$30,19,)</f>
        <v>#REF!</v>
      </c>
      <c r="AR5" s="24"/>
    </row>
    <row r="6" spans="1:44" ht="16.2" thickBot="1">
      <c r="A6" s="28" t="s">
        <v>274</v>
      </c>
      <c r="B6" s="21">
        <v>571370.08000000007</v>
      </c>
      <c r="C6" s="21">
        <v>121138.20800000001</v>
      </c>
      <c r="D6" s="21">
        <f t="shared" si="3"/>
        <v>692508.28800000006</v>
      </c>
      <c r="E6" s="21">
        <v>46580.504000000001</v>
      </c>
      <c r="F6" s="21">
        <v>21504.728000000003</v>
      </c>
      <c r="G6" s="21">
        <f t="shared" si="4"/>
        <v>68085.232000000004</v>
      </c>
      <c r="H6" s="21">
        <v>580459.14</v>
      </c>
      <c r="I6" s="21">
        <v>67052.63</v>
      </c>
      <c r="J6" s="27">
        <f t="shared" si="2"/>
        <v>1408105.29</v>
      </c>
      <c r="K6" s="61">
        <v>0</v>
      </c>
      <c r="L6" s="21">
        <v>25660.497814048096</v>
      </c>
      <c r="M6" s="21"/>
      <c r="N6" s="21"/>
      <c r="P6" s="21">
        <v>110063.62</v>
      </c>
      <c r="Q6" s="21">
        <v>12732.700211732939</v>
      </c>
      <c r="R6" s="62">
        <v>0</v>
      </c>
      <c r="S6" s="21"/>
      <c r="U6" s="21">
        <v>5608.741874710001</v>
      </c>
      <c r="W6" s="25">
        <v>2200</v>
      </c>
      <c r="X6" s="25">
        <v>2182</v>
      </c>
      <c r="Y6" s="26">
        <v>32.447296058661777</v>
      </c>
      <c r="Z6" s="25">
        <v>260</v>
      </c>
      <c r="AA6" s="26">
        <v>52.692307692307693</v>
      </c>
      <c r="AB6" s="25">
        <v>6704</v>
      </c>
      <c r="AD6" s="18">
        <v>0</v>
      </c>
      <c r="AF6" s="18">
        <v>984059.28000000014</v>
      </c>
      <c r="AG6" s="18"/>
      <c r="AH6" s="119">
        <v>4269995</v>
      </c>
      <c r="AJ6" s="32" t="s">
        <v>7</v>
      </c>
      <c r="AK6" s="41" t="e">
        <f>SUM(AK7:AK8)</f>
        <v>#REF!</v>
      </c>
      <c r="AM6" s="32" t="s">
        <v>273</v>
      </c>
      <c r="AN6" s="37" t="e">
        <f>VLOOKUP($AK$2,'Diretrizes - Resumo'!$A$4:$M$30,12,)</f>
        <v>#REF!</v>
      </c>
      <c r="AR6" s="24"/>
    </row>
    <row r="7" spans="1:44" ht="16.2" thickBot="1">
      <c r="A7" s="28" t="s">
        <v>272</v>
      </c>
      <c r="B7" s="21">
        <v>199437.94400000002</v>
      </c>
      <c r="C7" s="21">
        <v>40871.728000000003</v>
      </c>
      <c r="D7" s="21">
        <f t="shared" si="3"/>
        <v>240309.67200000002</v>
      </c>
      <c r="E7" s="21">
        <v>33169.32</v>
      </c>
      <c r="F7" s="21">
        <v>22426.176000000003</v>
      </c>
      <c r="G7" s="21">
        <f t="shared" si="4"/>
        <v>55595.495999999999</v>
      </c>
      <c r="H7" s="21">
        <v>297156.28999999998</v>
      </c>
      <c r="I7" s="21">
        <v>29653.07</v>
      </c>
      <c r="J7" s="27">
        <f t="shared" si="2"/>
        <v>622714.52799999993</v>
      </c>
      <c r="K7" s="61">
        <v>0</v>
      </c>
      <c r="L7" s="21">
        <v>11617.791798420327</v>
      </c>
      <c r="M7" s="21">
        <v>18040</v>
      </c>
      <c r="N7" s="21">
        <v>629725.45006169006</v>
      </c>
      <c r="P7" s="21">
        <v>49831.31</v>
      </c>
      <c r="Q7" s="21">
        <v>5762.7040616900194</v>
      </c>
      <c r="R7" s="62">
        <v>0</v>
      </c>
      <c r="S7" s="21"/>
      <c r="U7" s="21">
        <v>2768.9817116520007</v>
      </c>
      <c r="W7" s="25">
        <v>859.6</v>
      </c>
      <c r="X7" s="25">
        <v>853.6</v>
      </c>
      <c r="Y7" s="26">
        <v>39.081537019681356</v>
      </c>
      <c r="Z7" s="25">
        <v>292</v>
      </c>
      <c r="AA7" s="26">
        <v>70.205479452054789</v>
      </c>
      <c r="AB7" s="25">
        <v>3432</v>
      </c>
      <c r="AD7" s="18">
        <v>0</v>
      </c>
      <c r="AF7" s="18">
        <v>829755.32</v>
      </c>
      <c r="AG7" s="18"/>
      <c r="AH7" s="119">
        <v>877613</v>
      </c>
      <c r="AJ7" s="39" t="s">
        <v>178</v>
      </c>
      <c r="AK7" s="37" t="e">
        <f>VLOOKUP($AK$2,'Diretrizes - Resumo'!$A$4:$I$30,2,)</f>
        <v>#REF!</v>
      </c>
      <c r="AM7" s="32" t="s">
        <v>271</v>
      </c>
      <c r="AN7" s="37" t="e">
        <f>VLOOKUP($AK$2,'Diretrizes - Resumo'!$A$4:$M$30,13,)</f>
        <v>#REF!</v>
      </c>
      <c r="AR7" s="24"/>
    </row>
    <row r="8" spans="1:44" ht="16.2" thickBot="1">
      <c r="A8" s="28" t="s">
        <v>270</v>
      </c>
      <c r="B8" s="21">
        <v>1635572.3840000003</v>
      </c>
      <c r="C8" s="21">
        <v>294898.40000000002</v>
      </c>
      <c r="D8" s="21">
        <f t="shared" si="3"/>
        <v>1930470.7840000005</v>
      </c>
      <c r="E8" s="21">
        <v>190196.36800000002</v>
      </c>
      <c r="F8" s="21">
        <v>80935.024000000005</v>
      </c>
      <c r="G8" s="21">
        <f t="shared" si="4"/>
        <v>271131.39199999999</v>
      </c>
      <c r="H8" s="21">
        <v>1581889.68</v>
      </c>
      <c r="I8" s="21">
        <v>190281.52</v>
      </c>
      <c r="J8" s="27">
        <f t="shared" si="2"/>
        <v>3973773.3760000002</v>
      </c>
      <c r="K8" s="61">
        <v>0</v>
      </c>
      <c r="L8" s="21">
        <v>72931.013699093732</v>
      </c>
      <c r="M8" s="21"/>
      <c r="N8" s="21"/>
      <c r="P8" s="21">
        <v>312817.45</v>
      </c>
      <c r="Q8" s="21">
        <v>37600.721619223594</v>
      </c>
      <c r="R8" s="62">
        <v>0</v>
      </c>
      <c r="S8" s="21"/>
      <c r="U8" s="21">
        <v>13509.034775547998</v>
      </c>
      <c r="W8" s="25">
        <v>7366.3</v>
      </c>
      <c r="X8" s="25">
        <v>6563.3</v>
      </c>
      <c r="Y8" s="26">
        <v>30.857952554355279</v>
      </c>
      <c r="Z8" s="25">
        <v>1025</v>
      </c>
      <c r="AA8" s="26">
        <v>50.926829268292686</v>
      </c>
      <c r="AB8" s="25">
        <v>18270</v>
      </c>
      <c r="AD8" s="18">
        <v>0</v>
      </c>
      <c r="AF8" s="18">
        <v>6314976.8100000005</v>
      </c>
      <c r="AG8" s="18"/>
      <c r="AH8" s="119">
        <v>14985284</v>
      </c>
      <c r="AJ8" s="39" t="s">
        <v>52</v>
      </c>
      <c r="AK8" s="37" t="e">
        <f>VLOOKUP($AK$2,'Diretrizes - Resumo'!$A$4:$I$30,3,)</f>
        <v>#REF!</v>
      </c>
      <c r="AM8" s="83" t="s">
        <v>269</v>
      </c>
      <c r="AN8" s="82" t="e">
        <f>VLOOKUP($AK$2,$A$4:$AF$30,29,)</f>
        <v>#REF!</v>
      </c>
      <c r="AR8" s="24"/>
    </row>
    <row r="9" spans="1:44" ht="16.2" thickBot="1">
      <c r="A9" s="28" t="s">
        <v>268</v>
      </c>
      <c r="B9" s="21">
        <v>1073890.6000000001</v>
      </c>
      <c r="C9" s="21">
        <v>168626.54399999999</v>
      </c>
      <c r="D9" s="21">
        <f t="shared" si="3"/>
        <v>1242517.1440000001</v>
      </c>
      <c r="E9" s="21">
        <v>95297.712</v>
      </c>
      <c r="F9" s="21">
        <v>29076.736000000001</v>
      </c>
      <c r="G9" s="21">
        <f t="shared" si="4"/>
        <v>124374.448</v>
      </c>
      <c r="H9" s="21">
        <v>1034072.71</v>
      </c>
      <c r="I9" s="21">
        <v>107937.7</v>
      </c>
      <c r="J9" s="27">
        <f t="shared" si="2"/>
        <v>2508902.0020000003</v>
      </c>
      <c r="K9" s="61">
        <v>0</v>
      </c>
      <c r="L9" s="21">
        <v>45719.891289323386</v>
      </c>
      <c r="M9" s="21"/>
      <c r="N9" s="21"/>
      <c r="P9" s="21">
        <v>196102.85</v>
      </c>
      <c r="Q9" s="21">
        <v>23608.631521290605</v>
      </c>
      <c r="R9" s="62">
        <v>0</v>
      </c>
      <c r="S9" s="21">
        <v>17423.81414516392</v>
      </c>
      <c r="U9" s="21">
        <v>8893.9349598320005</v>
      </c>
      <c r="W9" s="25">
        <v>4728</v>
      </c>
      <c r="X9" s="25">
        <v>4542</v>
      </c>
      <c r="Y9" s="26">
        <v>32.298546895640683</v>
      </c>
      <c r="Z9" s="25">
        <v>437</v>
      </c>
      <c r="AA9" s="26">
        <v>42.334096109839813</v>
      </c>
      <c r="AB9" s="25">
        <v>11943</v>
      </c>
      <c r="AD9" s="18">
        <v>0</v>
      </c>
      <c r="AF9" s="18">
        <v>1187299.8600000001</v>
      </c>
      <c r="AG9" s="18"/>
      <c r="AH9" s="119">
        <v>9240580</v>
      </c>
      <c r="AJ9" s="32" t="s">
        <v>8</v>
      </c>
      <c r="AK9" s="40" t="e">
        <f>SUM(AK10:AK11)</f>
        <v>#REF!</v>
      </c>
      <c r="AM9" s="32" t="s">
        <v>267</v>
      </c>
      <c r="AN9" s="37" t="e">
        <f>VLOOKUP($AK$2,$A$4:$AF$30,32,)</f>
        <v>#REF!</v>
      </c>
      <c r="AR9" s="24"/>
    </row>
    <row r="10" spans="1:44" ht="16.2" thickBot="1">
      <c r="A10" s="28" t="s">
        <v>266</v>
      </c>
      <c r="B10" s="21">
        <v>1778840.4559999995</v>
      </c>
      <c r="C10" s="21">
        <v>272509.68800000002</v>
      </c>
      <c r="D10" s="21">
        <f t="shared" si="3"/>
        <v>2051350.1439999996</v>
      </c>
      <c r="E10" s="21">
        <v>133096.54399999999</v>
      </c>
      <c r="F10" s="21">
        <v>53126.96</v>
      </c>
      <c r="G10" s="21">
        <f t="shared" si="4"/>
        <v>186223.50399999999</v>
      </c>
      <c r="H10" s="21">
        <v>1539550.1</v>
      </c>
      <c r="I10" s="21">
        <v>216423.76</v>
      </c>
      <c r="J10" s="27">
        <f t="shared" si="2"/>
        <v>3993547.5079999994</v>
      </c>
      <c r="K10" s="61">
        <v>0</v>
      </c>
      <c r="L10" s="21">
        <v>72880.70202486412</v>
      </c>
      <c r="M10" s="21"/>
      <c r="N10" s="21"/>
      <c r="P10" s="21">
        <v>312601.65000000002</v>
      </c>
      <c r="Q10" s="21">
        <v>42200.896909131261</v>
      </c>
      <c r="R10" s="62">
        <v>0</v>
      </c>
      <c r="S10" s="21"/>
      <c r="U10" s="21">
        <v>14886.088719709998</v>
      </c>
      <c r="W10" s="25">
        <v>6845.6</v>
      </c>
      <c r="X10" s="25">
        <v>6318.6</v>
      </c>
      <c r="Y10" s="26">
        <v>26.581837748868423</v>
      </c>
      <c r="Z10" s="25">
        <v>804</v>
      </c>
      <c r="AA10" s="26">
        <v>56.218905472636813</v>
      </c>
      <c r="AB10" s="25">
        <v>17781</v>
      </c>
      <c r="AD10" s="18">
        <v>0</v>
      </c>
      <c r="AF10" s="18">
        <v>1020703.8599999999</v>
      </c>
      <c r="AG10" s="18"/>
      <c r="AH10" s="119">
        <v>3094325</v>
      </c>
      <c r="AJ10" s="39" t="s">
        <v>179</v>
      </c>
      <c r="AK10" s="37" t="e">
        <f>VLOOKUP($AK$2,'Diretrizes - Resumo'!$A$4:$J$30,5,)</f>
        <v>#REF!</v>
      </c>
      <c r="AR10" s="24"/>
    </row>
    <row r="11" spans="1:44" ht="16.2" thickBot="1">
      <c r="A11" s="28" t="s">
        <v>265</v>
      </c>
      <c r="B11" s="21">
        <v>1437738.3759999999</v>
      </c>
      <c r="C11" s="21">
        <v>82239.352000000014</v>
      </c>
      <c r="D11" s="21">
        <f t="shared" si="3"/>
        <v>1519977.7279999999</v>
      </c>
      <c r="E11" s="21">
        <v>128752.43200000002</v>
      </c>
      <c r="F11" s="21">
        <v>14149.88</v>
      </c>
      <c r="G11" s="21">
        <f t="shared" si="4"/>
        <v>142902.31200000001</v>
      </c>
      <c r="H11" s="21">
        <v>1327246.1399999999</v>
      </c>
      <c r="I11" s="21">
        <v>149580.47</v>
      </c>
      <c r="J11" s="27">
        <f t="shared" si="2"/>
        <v>3139706.6499999994</v>
      </c>
      <c r="K11" s="61">
        <v>0</v>
      </c>
      <c r="L11" s="21">
        <v>57264.654858299888</v>
      </c>
      <c r="M11" s="21"/>
      <c r="N11" s="21"/>
      <c r="P11" s="21">
        <v>245620.93</v>
      </c>
      <c r="Q11" s="21">
        <v>29557.581779246742</v>
      </c>
      <c r="R11" s="62">
        <v>0</v>
      </c>
      <c r="S11" s="21"/>
      <c r="U11" s="21">
        <v>11997.369723430005</v>
      </c>
      <c r="W11" s="25">
        <v>4055</v>
      </c>
      <c r="X11" s="25">
        <v>3960</v>
      </c>
      <c r="Y11" s="26">
        <v>6.868686868686865</v>
      </c>
      <c r="Z11" s="25">
        <v>484</v>
      </c>
      <c r="AA11" s="26">
        <v>29.545454545454547</v>
      </c>
      <c r="AB11" s="25">
        <v>15329</v>
      </c>
      <c r="AD11" s="18">
        <v>0</v>
      </c>
      <c r="AF11" s="18">
        <v>2085182.6499999997</v>
      </c>
      <c r="AG11" s="18"/>
      <c r="AH11" s="119">
        <v>4108508</v>
      </c>
      <c r="AJ11" s="39" t="s">
        <v>53</v>
      </c>
      <c r="AK11" s="37" t="e">
        <f>VLOOKUP($AK$2,'Diretrizes - Resumo'!$A$4:$I$30,6,)</f>
        <v>#REF!</v>
      </c>
      <c r="AR11" s="24"/>
    </row>
    <row r="12" spans="1:44" ht="16.2" thickBot="1">
      <c r="A12" s="28" t="s">
        <v>263</v>
      </c>
      <c r="B12" s="21">
        <v>1379093.6640000001</v>
      </c>
      <c r="C12" s="21">
        <v>221931.152</v>
      </c>
      <c r="D12" s="21">
        <f t="shared" si="3"/>
        <v>1601024.8160000001</v>
      </c>
      <c r="E12" s="21">
        <v>82964.975999999995</v>
      </c>
      <c r="F12" s="21">
        <v>90843.423999999999</v>
      </c>
      <c r="G12" s="21">
        <f t="shared" si="4"/>
        <v>173808.4</v>
      </c>
      <c r="H12" s="21">
        <v>2651635</v>
      </c>
      <c r="I12" s="21">
        <v>158024.91</v>
      </c>
      <c r="J12" s="27">
        <f t="shared" si="2"/>
        <v>4584493.1260000002</v>
      </c>
      <c r="K12" s="61">
        <v>0</v>
      </c>
      <c r="L12" s="21">
        <v>84498.899430433084</v>
      </c>
      <c r="M12" s="21"/>
      <c r="N12" s="21"/>
      <c r="P12" s="21">
        <v>362434.7</v>
      </c>
      <c r="Q12" s="21">
        <v>43313.642250348523</v>
      </c>
      <c r="R12" s="62">
        <v>0</v>
      </c>
      <c r="S12" s="21"/>
      <c r="U12" s="21">
        <v>20244.566489575998</v>
      </c>
      <c r="W12" s="25">
        <v>5336</v>
      </c>
      <c r="X12" s="25">
        <v>5100</v>
      </c>
      <c r="Y12" s="26">
        <v>28.274509803921561</v>
      </c>
      <c r="Z12" s="25">
        <v>721</v>
      </c>
      <c r="AA12" s="26">
        <v>69.625520110957012</v>
      </c>
      <c r="AB12" s="25">
        <v>30625</v>
      </c>
      <c r="AD12" s="18">
        <v>0</v>
      </c>
      <c r="AF12" s="18">
        <v>2015911.7999999998</v>
      </c>
      <c r="AG12" s="18"/>
      <c r="AH12" s="119">
        <v>7206589</v>
      </c>
      <c r="AJ12" s="34" t="s">
        <v>49</v>
      </c>
      <c r="AK12" s="37" t="e">
        <f>VLOOKUP($AK$2,'Diretrizes - Resumo'!$A$4:$I$30,8,)</f>
        <v>#REF!</v>
      </c>
      <c r="AR12" s="24"/>
    </row>
    <row r="13" spans="1:44" ht="16.2" thickBot="1">
      <c r="A13" s="28" t="s">
        <v>262</v>
      </c>
      <c r="B13" s="21">
        <v>511040.36800000002</v>
      </c>
      <c r="C13" s="21">
        <v>104363.144</v>
      </c>
      <c r="D13" s="21">
        <f t="shared" si="3"/>
        <v>615403.51199999999</v>
      </c>
      <c r="E13" s="21">
        <v>41637.815999999999</v>
      </c>
      <c r="F13" s="21">
        <v>37561.279999999999</v>
      </c>
      <c r="G13" s="21">
        <f t="shared" si="4"/>
        <v>79199.09599999999</v>
      </c>
      <c r="H13" s="21">
        <v>479848.53</v>
      </c>
      <c r="I13" s="21">
        <v>52850.3</v>
      </c>
      <c r="J13" s="27">
        <f t="shared" si="2"/>
        <v>1227301.4380000001</v>
      </c>
      <c r="K13" s="61">
        <v>0</v>
      </c>
      <c r="L13" s="21">
        <v>22699.741551492109</v>
      </c>
      <c r="M13" s="21">
        <v>17240</v>
      </c>
      <c r="N13" s="21">
        <v>124511.19545994185</v>
      </c>
      <c r="P13" s="21">
        <v>97364.27</v>
      </c>
      <c r="Q13" s="21">
        <v>11374.589459941722</v>
      </c>
      <c r="R13" s="62">
        <v>0</v>
      </c>
      <c r="S13" s="21"/>
      <c r="U13" s="21">
        <v>4047.925050624001</v>
      </c>
      <c r="W13" s="25">
        <v>2161</v>
      </c>
      <c r="X13" s="25">
        <v>2133</v>
      </c>
      <c r="Y13" s="26">
        <v>35.067979371776829</v>
      </c>
      <c r="Z13" s="25">
        <v>301</v>
      </c>
      <c r="AA13" s="26">
        <v>63.455149501661126</v>
      </c>
      <c r="AB13" s="25">
        <v>5542</v>
      </c>
      <c r="AD13" s="18">
        <v>0</v>
      </c>
      <c r="AF13" s="18">
        <v>67318.429999999993</v>
      </c>
      <c r="AG13" s="18"/>
      <c r="AH13" s="119">
        <v>7153262</v>
      </c>
      <c r="AJ13" s="34" t="s">
        <v>261</v>
      </c>
      <c r="AK13" s="37" t="e">
        <f>VLOOKUP($AK$2,'Diretrizes - Resumo'!$A$4:$I$30,9,)</f>
        <v>#REF!</v>
      </c>
      <c r="AR13" s="24"/>
    </row>
    <row r="14" spans="1:44" ht="16.2" thickBot="1">
      <c r="A14" s="28" t="s">
        <v>259</v>
      </c>
      <c r="B14" s="21">
        <v>4786978.784</v>
      </c>
      <c r="C14" s="21">
        <v>672571.16</v>
      </c>
      <c r="D14" s="21">
        <f t="shared" si="3"/>
        <v>5459549.9440000001</v>
      </c>
      <c r="E14" s="21">
        <v>430923.35200000007</v>
      </c>
      <c r="F14" s="21">
        <v>80833.144</v>
      </c>
      <c r="G14" s="21">
        <f t="shared" si="4"/>
        <v>511756.49600000004</v>
      </c>
      <c r="H14" s="21">
        <v>4935114.83</v>
      </c>
      <c r="I14" s="21">
        <v>592965.98</v>
      </c>
      <c r="J14" s="27">
        <f t="shared" si="2"/>
        <v>11499387.25</v>
      </c>
      <c r="K14" s="61">
        <v>0</v>
      </c>
      <c r="L14" s="21">
        <v>208977.01377463364</v>
      </c>
      <c r="M14" s="21"/>
      <c r="N14" s="21"/>
      <c r="P14" s="21">
        <v>896349.2</v>
      </c>
      <c r="Q14" s="21">
        <v>111232.1710148775</v>
      </c>
      <c r="R14" s="62">
        <v>0</v>
      </c>
      <c r="S14" s="21"/>
      <c r="U14" s="21">
        <v>47746.521404244006</v>
      </c>
      <c r="W14" s="25">
        <v>17458</v>
      </c>
      <c r="X14" s="25">
        <v>16749</v>
      </c>
      <c r="Y14" s="26">
        <v>24.67610006567557</v>
      </c>
      <c r="Z14" s="25">
        <v>1892</v>
      </c>
      <c r="AA14" s="26">
        <v>39.746300211416482</v>
      </c>
      <c r="AB14" s="25">
        <v>56998</v>
      </c>
      <c r="AD14" s="18">
        <v>0</v>
      </c>
      <c r="AF14" s="18">
        <v>9291279.5399999991</v>
      </c>
      <c r="AG14" s="18"/>
      <c r="AH14" s="119">
        <v>21411923</v>
      </c>
      <c r="AJ14" s="34" t="s">
        <v>9</v>
      </c>
      <c r="AK14" s="36"/>
      <c r="AR14" s="24"/>
    </row>
    <row r="15" spans="1:44" ht="16.2" thickBot="1">
      <c r="A15" s="28" t="s">
        <v>257</v>
      </c>
      <c r="B15" s="21">
        <v>854276.04800000007</v>
      </c>
      <c r="C15" s="21">
        <v>228507.67200000002</v>
      </c>
      <c r="D15" s="21">
        <f t="shared" si="3"/>
        <v>1082783.7200000002</v>
      </c>
      <c r="E15" s="21">
        <v>121900.35200000001</v>
      </c>
      <c r="F15" s="21">
        <v>53173.90400000001</v>
      </c>
      <c r="G15" s="21">
        <f t="shared" si="4"/>
        <v>175074.25600000002</v>
      </c>
      <c r="H15" s="21">
        <v>1860776.74</v>
      </c>
      <c r="I15" s="21">
        <v>144739.51999999999</v>
      </c>
      <c r="J15" s="27">
        <f t="shared" si="2"/>
        <v>3263374.236</v>
      </c>
      <c r="K15" s="61">
        <v>0</v>
      </c>
      <c r="L15" s="21">
        <v>59706.587859465071</v>
      </c>
      <c r="M15" s="21"/>
      <c r="N15" s="21"/>
      <c r="P15" s="21">
        <v>256094.92</v>
      </c>
      <c r="Q15" s="21">
        <v>30235.562340461736</v>
      </c>
      <c r="R15" s="62">
        <v>0</v>
      </c>
      <c r="S15" s="21"/>
      <c r="U15" s="21">
        <v>14188.692829558004</v>
      </c>
      <c r="W15" s="25">
        <v>3649</v>
      </c>
      <c r="X15" s="25">
        <v>3554</v>
      </c>
      <c r="Y15" s="26">
        <v>36.381541924592007</v>
      </c>
      <c r="Z15" s="25">
        <v>686</v>
      </c>
      <c r="AA15" s="26">
        <v>52.915451895043731</v>
      </c>
      <c r="AB15" s="25">
        <v>21491</v>
      </c>
      <c r="AD15" s="18">
        <v>0</v>
      </c>
      <c r="AF15" s="18">
        <v>715780.57</v>
      </c>
      <c r="AG15" s="18"/>
      <c r="AH15" s="119">
        <v>2839188</v>
      </c>
      <c r="AJ15" s="34" t="s">
        <v>110</v>
      </c>
      <c r="AK15" s="33" t="e">
        <f>VLOOKUP($AK$2,'Diretrizes - Resumo'!$A$4:$U$30,21,)</f>
        <v>#REF!</v>
      </c>
      <c r="AR15" s="24"/>
    </row>
    <row r="16" spans="1:44" ht="16.2" thickBot="1">
      <c r="A16" s="28" t="s">
        <v>255</v>
      </c>
      <c r="B16" s="21">
        <v>1059141.1679999998</v>
      </c>
      <c r="C16" s="21">
        <v>128444.17600000001</v>
      </c>
      <c r="D16" s="21">
        <f t="shared" si="3"/>
        <v>1187585.3439999998</v>
      </c>
      <c r="E16" s="21">
        <v>108266.90399999998</v>
      </c>
      <c r="F16" s="21">
        <v>47635.456000000006</v>
      </c>
      <c r="G16" s="21">
        <f t="shared" si="4"/>
        <v>155902.35999999999</v>
      </c>
      <c r="H16" s="21">
        <v>2977710.34</v>
      </c>
      <c r="I16" s="21">
        <v>129635.94</v>
      </c>
      <c r="J16" s="27">
        <f t="shared" si="2"/>
        <v>4450833.9839999992</v>
      </c>
      <c r="K16" s="61">
        <v>0</v>
      </c>
      <c r="L16" s="21">
        <v>81621.154888239675</v>
      </c>
      <c r="M16" s="21"/>
      <c r="N16" s="21"/>
      <c r="P16" s="21">
        <v>350091.41</v>
      </c>
      <c r="Q16" s="21">
        <v>42028.667586903612</v>
      </c>
      <c r="R16" s="62">
        <v>0</v>
      </c>
      <c r="S16" s="21"/>
      <c r="U16" s="21">
        <v>18539.373852427998</v>
      </c>
      <c r="W16" s="25">
        <v>3626</v>
      </c>
      <c r="X16" s="25">
        <v>3563</v>
      </c>
      <c r="Y16" s="26">
        <v>23.294976143699131</v>
      </c>
      <c r="Z16" s="25">
        <v>643</v>
      </c>
      <c r="AA16" s="26">
        <v>55.520995334370141</v>
      </c>
      <c r="AB16" s="25">
        <v>34391</v>
      </c>
      <c r="AD16" s="18">
        <v>0</v>
      </c>
      <c r="AF16" s="18">
        <v>1836973.55</v>
      </c>
      <c r="AG16" s="18"/>
      <c r="AH16" s="119">
        <v>3567234</v>
      </c>
      <c r="AJ16" s="34" t="s">
        <v>10</v>
      </c>
      <c r="AK16" s="33" t="e">
        <f>VLOOKUP($AK$2,'Diretrizes - Resumo'!$A$4:$N$30,14,)</f>
        <v>#REF!</v>
      </c>
      <c r="AR16" s="24"/>
    </row>
    <row r="17" spans="1:44" ht="16.2" thickBot="1">
      <c r="A17" s="28" t="s">
        <v>253</v>
      </c>
      <c r="B17" s="21">
        <v>631256.57600000012</v>
      </c>
      <c r="C17" s="21">
        <v>288818.38400000002</v>
      </c>
      <c r="D17" s="21">
        <f t="shared" si="3"/>
        <v>920074.9600000002</v>
      </c>
      <c r="E17" s="21">
        <v>51412.072</v>
      </c>
      <c r="F17" s="21">
        <v>30925.567999999999</v>
      </c>
      <c r="G17" s="21">
        <f t="shared" si="4"/>
        <v>82337.64</v>
      </c>
      <c r="H17" s="21">
        <v>718127.7</v>
      </c>
      <c r="I17" s="21">
        <v>77424.31</v>
      </c>
      <c r="J17" s="27">
        <f t="shared" si="2"/>
        <v>1797964.6100000003</v>
      </c>
      <c r="K17" s="61">
        <v>0</v>
      </c>
      <c r="L17" s="21">
        <v>32368.105936475167</v>
      </c>
      <c r="M17" s="21"/>
      <c r="N17" s="21"/>
      <c r="P17" s="21">
        <v>138834.04999999999</v>
      </c>
      <c r="Q17" s="21">
        <v>16260.147768444294</v>
      </c>
      <c r="R17" s="62">
        <v>0</v>
      </c>
      <c r="S17" s="21"/>
      <c r="U17" s="21">
        <v>7872.5147328100011</v>
      </c>
      <c r="W17" s="25">
        <v>3191.6</v>
      </c>
      <c r="X17" s="25">
        <v>3024.6</v>
      </c>
      <c r="Y17" s="26">
        <v>42.306420683726778</v>
      </c>
      <c r="Z17" s="25">
        <v>435</v>
      </c>
      <c r="AA17" s="26">
        <v>68.735632183908052</v>
      </c>
      <c r="AB17" s="25">
        <v>8294</v>
      </c>
      <c r="AD17" s="18">
        <v>0</v>
      </c>
      <c r="AF17" s="18">
        <v>1313598.9600000002</v>
      </c>
      <c r="AG17" s="18"/>
      <c r="AH17" s="119">
        <v>8777124</v>
      </c>
      <c r="AJ17" s="8"/>
      <c r="AK17" s="30"/>
      <c r="AR17" s="24"/>
    </row>
    <row r="18" spans="1:44" ht="16.2" thickBot="1">
      <c r="A18" s="28" t="s">
        <v>252</v>
      </c>
      <c r="B18" s="21">
        <v>779545.16800000006</v>
      </c>
      <c r="C18" s="21">
        <v>158167.88800000001</v>
      </c>
      <c r="D18" s="21">
        <f t="shared" si="3"/>
        <v>937713.0560000001</v>
      </c>
      <c r="E18" s="21">
        <v>67108.960000000006</v>
      </c>
      <c r="F18" s="21">
        <v>26325.712</v>
      </c>
      <c r="G18" s="21">
        <f t="shared" si="4"/>
        <v>93434.672000000006</v>
      </c>
      <c r="H18" s="21">
        <v>832331.99</v>
      </c>
      <c r="I18" s="21">
        <v>102491.38</v>
      </c>
      <c r="J18" s="27">
        <f t="shared" si="2"/>
        <v>1965971.0980000002</v>
      </c>
      <c r="K18" s="61">
        <v>0</v>
      </c>
      <c r="L18" s="21">
        <v>36436.63269749692</v>
      </c>
      <c r="M18" s="21"/>
      <c r="N18" s="21"/>
      <c r="P18" s="21">
        <v>156284.88</v>
      </c>
      <c r="Q18" s="21">
        <v>18644.740937998373</v>
      </c>
      <c r="R18" s="62">
        <v>0</v>
      </c>
      <c r="S18" s="21">
        <v>15265.447867322171</v>
      </c>
      <c r="U18" s="21">
        <v>8597.2352596519995</v>
      </c>
      <c r="W18" s="25">
        <v>3134</v>
      </c>
      <c r="X18" s="25">
        <v>3068</v>
      </c>
      <c r="Y18" s="26">
        <v>30.019556714471975</v>
      </c>
      <c r="Z18" s="25">
        <v>273</v>
      </c>
      <c r="AA18" s="26">
        <v>35.164835164835168</v>
      </c>
      <c r="AB18" s="25">
        <v>9613</v>
      </c>
      <c r="AD18" s="18">
        <v>0</v>
      </c>
      <c r="AF18" s="18">
        <v>1288484.52</v>
      </c>
      <c r="AG18" s="18"/>
      <c r="AH18" s="119">
        <v>4059905</v>
      </c>
      <c r="AJ18" s="419" t="s">
        <v>264</v>
      </c>
      <c r="AK18" s="420"/>
      <c r="AR18" s="24"/>
    </row>
    <row r="19" spans="1:44" ht="16.2" thickBot="1">
      <c r="A19" s="28" t="s">
        <v>228</v>
      </c>
      <c r="B19" s="21">
        <v>1465865.0480000004</v>
      </c>
      <c r="C19" s="21">
        <v>195462.53600000002</v>
      </c>
      <c r="D19" s="21">
        <f t="shared" si="3"/>
        <v>1661327.5840000005</v>
      </c>
      <c r="E19" s="21">
        <v>118013.40800000001</v>
      </c>
      <c r="F19" s="21">
        <v>26716.376000000004</v>
      </c>
      <c r="G19" s="21">
        <f t="shared" si="4"/>
        <v>144729.78400000001</v>
      </c>
      <c r="H19" s="21">
        <v>1582322.6</v>
      </c>
      <c r="I19" s="21">
        <v>186360.9</v>
      </c>
      <c r="J19" s="27">
        <f t="shared" si="2"/>
        <v>3574740.8680000007</v>
      </c>
      <c r="K19" s="61">
        <v>0</v>
      </c>
      <c r="L19" s="21">
        <v>65037.65631003493</v>
      </c>
      <c r="M19" s="21"/>
      <c r="N19" s="21"/>
      <c r="P19" s="21">
        <v>278961.07</v>
      </c>
      <c r="Q19" s="21">
        <v>33917.863196986669</v>
      </c>
      <c r="R19" s="62">
        <v>0</v>
      </c>
      <c r="S19" s="21"/>
      <c r="U19" s="21">
        <v>13702.667599894003</v>
      </c>
      <c r="W19" s="25">
        <v>5504.8</v>
      </c>
      <c r="X19" s="25">
        <v>5056.8</v>
      </c>
      <c r="Y19" s="26">
        <v>22.737699731055216</v>
      </c>
      <c r="Z19" s="25">
        <v>537</v>
      </c>
      <c r="AA19" s="26">
        <v>38.175046554934823</v>
      </c>
      <c r="AB19" s="25">
        <v>18275</v>
      </c>
      <c r="AD19" s="18">
        <v>0</v>
      </c>
      <c r="AF19" s="18">
        <v>781387.39999999991</v>
      </c>
      <c r="AG19" s="18"/>
      <c r="AH19" s="119">
        <v>9674793</v>
      </c>
      <c r="AJ19" s="85" t="s">
        <v>320</v>
      </c>
      <c r="AK19" s="31" t="e">
        <f>VLOOKUP($AK$2,'Diretrizes - Resumo'!$A$4:$AB$30,23,)</f>
        <v>#REF!</v>
      </c>
      <c r="AR19" s="24"/>
    </row>
    <row r="20" spans="1:44" ht="16.2" thickBot="1">
      <c r="A20" s="28" t="s">
        <v>251</v>
      </c>
      <c r="B20" s="21">
        <v>441365.21600000001</v>
      </c>
      <c r="C20" s="21">
        <v>55796.368000000009</v>
      </c>
      <c r="D20" s="21">
        <f t="shared" si="3"/>
        <v>497161.58400000003</v>
      </c>
      <c r="E20" s="21">
        <v>58238.896000000001</v>
      </c>
      <c r="F20" s="21">
        <v>10494.816000000001</v>
      </c>
      <c r="G20" s="21">
        <f t="shared" si="4"/>
        <v>68733.712</v>
      </c>
      <c r="H20" s="21">
        <v>415430.03</v>
      </c>
      <c r="I20" s="21">
        <v>44159.64</v>
      </c>
      <c r="J20" s="27">
        <f t="shared" si="2"/>
        <v>1025484.966</v>
      </c>
      <c r="K20" s="61">
        <v>0</v>
      </c>
      <c r="L20" s="21">
        <v>18707.909105583629</v>
      </c>
      <c r="M20" s="21">
        <v>16840</v>
      </c>
      <c r="N20" s="21">
        <v>323635.37833657151</v>
      </c>
      <c r="P20" s="21">
        <v>80242.41</v>
      </c>
      <c r="Q20" s="21">
        <v>9280.7303365715197</v>
      </c>
      <c r="R20" s="62">
        <v>0</v>
      </c>
      <c r="S20" s="21"/>
      <c r="U20" s="21">
        <v>3293.3190637360003</v>
      </c>
      <c r="W20" s="25">
        <v>1641</v>
      </c>
      <c r="X20" s="25">
        <v>1599</v>
      </c>
      <c r="Y20" s="26">
        <v>25.203252032520325</v>
      </c>
      <c r="Z20" s="25">
        <v>275</v>
      </c>
      <c r="AA20" s="26">
        <v>43.63636363636364</v>
      </c>
      <c r="AB20" s="25">
        <v>4798</v>
      </c>
      <c r="AD20" s="18">
        <v>0</v>
      </c>
      <c r="AF20" s="18">
        <v>102180.46</v>
      </c>
      <c r="AG20" s="18"/>
      <c r="AH20" s="119">
        <v>3289290</v>
      </c>
      <c r="AJ20" s="85" t="s">
        <v>321</v>
      </c>
      <c r="AK20" s="31" t="e">
        <f>VLOOKUP($AK$2,'Diretrizes - Resumo'!$A$4:$AB$30,24,)</f>
        <v>#REF!</v>
      </c>
      <c r="AR20" s="24"/>
    </row>
    <row r="21" spans="1:44" ht="16.2" thickBot="1">
      <c r="A21" s="28" t="s">
        <v>250</v>
      </c>
      <c r="B21" s="21">
        <v>3584729.5519999997</v>
      </c>
      <c r="C21" s="21">
        <v>483287.37599999999</v>
      </c>
      <c r="D21" s="21">
        <f t="shared" si="3"/>
        <v>4068016.9279999998</v>
      </c>
      <c r="E21" s="21">
        <v>492594.59999999992</v>
      </c>
      <c r="F21" s="21">
        <v>130089.73600000002</v>
      </c>
      <c r="G21" s="21">
        <f t="shared" si="4"/>
        <v>622684.33599999989</v>
      </c>
      <c r="H21" s="21">
        <v>6433970.46</v>
      </c>
      <c r="I21" s="21">
        <v>444986.87</v>
      </c>
      <c r="J21" s="27">
        <f t="shared" si="2"/>
        <v>11569658.594000001</v>
      </c>
      <c r="K21" s="61">
        <v>0</v>
      </c>
      <c r="L21" s="21">
        <v>211768.97709494023</v>
      </c>
      <c r="M21" s="21"/>
      <c r="N21" s="21"/>
      <c r="P21" s="21">
        <v>908324.56</v>
      </c>
      <c r="Q21" s="21">
        <v>109891.24211973045</v>
      </c>
      <c r="R21" s="62">
        <v>0</v>
      </c>
      <c r="S21" s="21"/>
      <c r="U21" s="21">
        <v>55576.003279602017</v>
      </c>
      <c r="W21" s="25">
        <v>14181</v>
      </c>
      <c r="X21" s="25">
        <v>13769</v>
      </c>
      <c r="Y21" s="26">
        <v>30.626770281066158</v>
      </c>
      <c r="Z21" s="25">
        <v>2791</v>
      </c>
      <c r="AA21" s="26">
        <v>53.31422429236833</v>
      </c>
      <c r="AB21" s="25">
        <v>74309</v>
      </c>
      <c r="AD21" s="18">
        <v>0</v>
      </c>
      <c r="AF21" s="18">
        <v>13878149.049999999</v>
      </c>
      <c r="AG21" s="18"/>
      <c r="AH21" s="119">
        <v>11597484</v>
      </c>
      <c r="AJ21" s="84" t="s">
        <v>260</v>
      </c>
      <c r="AK21" s="35" t="e">
        <f>VLOOKUP($AK$2,'Diretrizes - Resumo'!$A$4:$AB$30,25,)</f>
        <v>#REF!</v>
      </c>
      <c r="AR21" s="24"/>
    </row>
    <row r="22" spans="1:44" ht="16.2" thickBot="1">
      <c r="A22" s="28" t="s">
        <v>249</v>
      </c>
      <c r="B22" s="21">
        <v>4637544.568</v>
      </c>
      <c r="C22" s="21">
        <v>1377724.6320000002</v>
      </c>
      <c r="D22" s="21">
        <f t="shared" si="3"/>
        <v>6015269.2000000002</v>
      </c>
      <c r="E22" s="21">
        <v>613813.02400000009</v>
      </c>
      <c r="F22" s="21">
        <v>307902.50400000002</v>
      </c>
      <c r="G22" s="21">
        <f t="shared" si="4"/>
        <v>921715.52800000017</v>
      </c>
      <c r="H22" s="21">
        <v>5158328.38</v>
      </c>
      <c r="I22" s="21">
        <v>665242.22</v>
      </c>
      <c r="J22" s="27">
        <f t="shared" si="2"/>
        <v>12760555.328</v>
      </c>
      <c r="K22" s="61">
        <v>0</v>
      </c>
      <c r="L22" s="21">
        <v>225894.11830159381</v>
      </c>
      <c r="M22" s="21"/>
      <c r="N22" s="21"/>
      <c r="P22" s="21">
        <v>968910.45</v>
      </c>
      <c r="Q22" s="21">
        <v>127374.78823620477</v>
      </c>
      <c r="R22" s="62">
        <v>0</v>
      </c>
      <c r="S22" s="21">
        <v>157897.52974945167</v>
      </c>
      <c r="U22" s="21">
        <v>38847.512405962007</v>
      </c>
      <c r="W22" s="25">
        <v>21599.333333333332</v>
      </c>
      <c r="X22" s="25">
        <v>18095.333333333332</v>
      </c>
      <c r="Y22" s="26">
        <v>27.810116788858991</v>
      </c>
      <c r="Z22" s="25">
        <v>2932</v>
      </c>
      <c r="AA22" s="26">
        <v>44.611186903137792</v>
      </c>
      <c r="AB22" s="25">
        <v>59576</v>
      </c>
      <c r="AD22" s="18">
        <v>0</v>
      </c>
      <c r="AF22" s="18">
        <v>5939954.9100000001</v>
      </c>
      <c r="AG22" s="18"/>
      <c r="AH22" s="119">
        <v>17463349</v>
      </c>
      <c r="AJ22" s="32" t="s">
        <v>258</v>
      </c>
      <c r="AK22" s="31" t="e">
        <f>VLOOKUP($AK$2,'Diretrizes - Resumo'!$A$4:$AB$30,26,)</f>
        <v>#REF!</v>
      </c>
      <c r="AR22" s="24"/>
    </row>
    <row r="23" spans="1:44" ht="16.2" thickBot="1">
      <c r="A23" s="28" t="s">
        <v>248</v>
      </c>
      <c r="B23" s="21">
        <v>713019</v>
      </c>
      <c r="C23" s="21">
        <v>157137.48799999998</v>
      </c>
      <c r="D23" s="21">
        <f t="shared" si="3"/>
        <v>870156.48800000001</v>
      </c>
      <c r="E23" s="21">
        <v>52927.455999999998</v>
      </c>
      <c r="F23" s="21">
        <v>39673.744000000006</v>
      </c>
      <c r="G23" s="21">
        <f t="shared" si="4"/>
        <v>92601.200000000012</v>
      </c>
      <c r="H23" s="21">
        <v>877269.09</v>
      </c>
      <c r="I23" s="21">
        <v>81554.3</v>
      </c>
      <c r="J23" s="27">
        <f t="shared" si="2"/>
        <v>1921581.0780000002</v>
      </c>
      <c r="K23" s="61">
        <v>0</v>
      </c>
      <c r="L23" s="21">
        <v>35226.751940680093</v>
      </c>
      <c r="M23" s="21"/>
      <c r="N23" s="21"/>
      <c r="P23" s="21">
        <v>151095.43</v>
      </c>
      <c r="Q23" s="21">
        <v>18135.485503182223</v>
      </c>
      <c r="R23" s="62">
        <v>0</v>
      </c>
      <c r="S23" s="21"/>
      <c r="U23" s="21">
        <v>7447.4280785060009</v>
      </c>
      <c r="W23" s="25">
        <v>2816</v>
      </c>
      <c r="X23" s="25">
        <v>2736</v>
      </c>
      <c r="Y23" s="26">
        <v>30.701754385964904</v>
      </c>
      <c r="Z23" s="25">
        <v>316</v>
      </c>
      <c r="AA23" s="26">
        <v>55.696202531645575</v>
      </c>
      <c r="AB23" s="25">
        <v>10132</v>
      </c>
      <c r="AD23" s="18">
        <v>0</v>
      </c>
      <c r="AF23" s="18">
        <v>1125992.78</v>
      </c>
      <c r="AG23" s="18"/>
      <c r="AH23" s="119">
        <v>3560903</v>
      </c>
      <c r="AJ23" s="32" t="s">
        <v>256</v>
      </c>
      <c r="AK23" s="35" t="e">
        <f>VLOOKUP($AK$2,'Diretrizes - Resumo'!$A$4:$AB$30,27,)</f>
        <v>#REF!</v>
      </c>
      <c r="AR23" s="24"/>
    </row>
    <row r="24" spans="1:44" ht="16.2" thickBot="1">
      <c r="A24" s="28" t="s">
        <v>247</v>
      </c>
      <c r="B24" s="21">
        <v>376617.67199999996</v>
      </c>
      <c r="C24" s="21">
        <v>50792.112000000001</v>
      </c>
      <c r="D24" s="21">
        <f t="shared" si="3"/>
        <v>427409.78399999999</v>
      </c>
      <c r="E24" s="21">
        <v>41183.200000000004</v>
      </c>
      <c r="F24" s="21">
        <v>14584.256000000001</v>
      </c>
      <c r="G24" s="21">
        <f t="shared" si="4"/>
        <v>55767.456000000006</v>
      </c>
      <c r="H24" s="21">
        <v>953030.09</v>
      </c>
      <c r="I24" s="21">
        <v>64629.33</v>
      </c>
      <c r="J24" s="27">
        <f t="shared" si="2"/>
        <v>1500836.66</v>
      </c>
      <c r="K24" s="61">
        <v>0</v>
      </c>
      <c r="L24" s="21">
        <v>27471.485518262714</v>
      </c>
      <c r="M24" s="21"/>
      <c r="N24" s="21"/>
      <c r="P24" s="21">
        <v>117831.35</v>
      </c>
      <c r="Q24" s="21">
        <v>13899.250191988889</v>
      </c>
      <c r="R24" s="62">
        <v>0</v>
      </c>
      <c r="S24" s="21"/>
      <c r="U24" s="21">
        <v>5793.1311791340013</v>
      </c>
      <c r="W24" s="25">
        <v>1461.8</v>
      </c>
      <c r="X24" s="25">
        <v>1442.8</v>
      </c>
      <c r="Y24" s="26">
        <v>28.611034100360413</v>
      </c>
      <c r="Z24" s="25">
        <v>241</v>
      </c>
      <c r="AA24" s="26">
        <v>54.771784232365142</v>
      </c>
      <c r="AB24" s="25">
        <v>11007</v>
      </c>
      <c r="AD24" s="18">
        <v>0</v>
      </c>
      <c r="AF24" s="18">
        <v>1207427.8900000001</v>
      </c>
      <c r="AG24" s="18"/>
      <c r="AH24" s="119">
        <v>1815278</v>
      </c>
      <c r="AJ24" s="84" t="s">
        <v>254</v>
      </c>
      <c r="AK24" s="31" t="e">
        <f>VLOOKUP($AK$2,'Diretrizes - Resumo'!$A$4:$AB$30,28,)</f>
        <v>#REF!</v>
      </c>
      <c r="AR24" s="24"/>
    </row>
    <row r="25" spans="1:44" ht="16.2" thickBot="1">
      <c r="A25" s="28" t="s">
        <v>246</v>
      </c>
      <c r="B25" s="21">
        <v>58052.096000000012</v>
      </c>
      <c r="C25" s="21">
        <v>10597.968000000001</v>
      </c>
      <c r="D25" s="21">
        <f t="shared" si="3"/>
        <v>68650.064000000013</v>
      </c>
      <c r="E25" s="21">
        <v>8061.8640000000014</v>
      </c>
      <c r="F25" s="21">
        <v>4434.5600000000004</v>
      </c>
      <c r="G25" s="21">
        <f t="shared" si="4"/>
        <v>12496.424000000003</v>
      </c>
      <c r="H25" s="21">
        <v>109875.1</v>
      </c>
      <c r="I25" s="21">
        <v>7640.86</v>
      </c>
      <c r="J25" s="27">
        <f t="shared" si="2"/>
        <v>198662.44800000003</v>
      </c>
      <c r="K25" s="61">
        <v>0</v>
      </c>
      <c r="L25" s="21">
        <v>3667.0231318440547</v>
      </c>
      <c r="M25" s="21">
        <v>17640</v>
      </c>
      <c r="N25" s="21">
        <v>1027072.3434838187</v>
      </c>
      <c r="P25" s="21">
        <v>15728.68</v>
      </c>
      <c r="Q25" s="21">
        <v>1935.0334838186973</v>
      </c>
      <c r="R25" s="62">
        <v>0</v>
      </c>
      <c r="S25" s="21"/>
      <c r="U25" s="21">
        <v>735.73557525000024</v>
      </c>
      <c r="W25" s="25">
        <v>250</v>
      </c>
      <c r="X25" s="25">
        <v>241</v>
      </c>
      <c r="Y25" s="26">
        <v>35.269709543568467</v>
      </c>
      <c r="Z25" s="25">
        <v>64</v>
      </c>
      <c r="AA25" s="26">
        <v>65.625</v>
      </c>
      <c r="AB25" s="25">
        <v>1269</v>
      </c>
      <c r="AD25" s="18">
        <v>0</v>
      </c>
      <c r="AF25" s="18">
        <v>245329.86999999997</v>
      </c>
      <c r="AG25" s="18"/>
      <c r="AH25" s="119">
        <v>652713</v>
      </c>
      <c r="AR25" s="24"/>
    </row>
    <row r="26" spans="1:44" ht="16.2" thickBot="1">
      <c r="A26" s="28" t="s">
        <v>245</v>
      </c>
      <c r="B26" s="21">
        <v>4734720.0959999999</v>
      </c>
      <c r="C26" s="21">
        <v>674682.09600000002</v>
      </c>
      <c r="D26" s="21">
        <f t="shared" si="3"/>
        <v>5409402.1919999998</v>
      </c>
      <c r="E26" s="21">
        <v>608680.91200000001</v>
      </c>
      <c r="F26" s="21">
        <v>201265.52800000002</v>
      </c>
      <c r="G26" s="21">
        <f t="shared" si="4"/>
        <v>809946.44000000006</v>
      </c>
      <c r="H26" s="21">
        <v>8176300.29</v>
      </c>
      <c r="I26" s="21">
        <v>575825.96</v>
      </c>
      <c r="J26" s="27">
        <f t="shared" si="2"/>
        <v>14971474.881999999</v>
      </c>
      <c r="K26" s="61">
        <v>0</v>
      </c>
      <c r="L26" s="21">
        <v>274444.30773230823</v>
      </c>
      <c r="M26" s="21"/>
      <c r="N26" s="21"/>
      <c r="P26" s="21">
        <v>1177153.08</v>
      </c>
      <c r="Q26" s="21">
        <v>140403.8422811334</v>
      </c>
      <c r="R26" s="62">
        <v>0</v>
      </c>
      <c r="S26" s="21"/>
      <c r="U26" s="21">
        <v>66194.068942066035</v>
      </c>
      <c r="W26" s="25">
        <v>18041</v>
      </c>
      <c r="X26" s="25">
        <v>16889</v>
      </c>
      <c r="Y26" s="26">
        <v>24.400497365148908</v>
      </c>
      <c r="Z26" s="25">
        <v>2927</v>
      </c>
      <c r="AA26" s="26">
        <v>44.994875298940897</v>
      </c>
      <c r="AB26" s="25">
        <v>94432</v>
      </c>
      <c r="AD26" s="18">
        <v>0</v>
      </c>
      <c r="AF26" s="18">
        <v>18607318.912999999</v>
      </c>
      <c r="AG26" s="18"/>
      <c r="AH26" s="119">
        <v>11466630</v>
      </c>
      <c r="AJ26" s="419" t="s">
        <v>324</v>
      </c>
      <c r="AK26" s="420"/>
      <c r="AR26" s="24"/>
    </row>
    <row r="27" spans="1:44" ht="16.2" thickBot="1">
      <c r="A27" s="28" t="s">
        <v>244</v>
      </c>
      <c r="B27" s="21">
        <v>3476552.3760000002</v>
      </c>
      <c r="C27" s="21">
        <v>455971.64800000004</v>
      </c>
      <c r="D27" s="21">
        <f t="shared" si="3"/>
        <v>3932524.0240000002</v>
      </c>
      <c r="E27" s="21">
        <v>386045.13599999994</v>
      </c>
      <c r="F27" s="21">
        <v>92983.784</v>
      </c>
      <c r="G27" s="21">
        <f t="shared" si="4"/>
        <v>479028.91999999993</v>
      </c>
      <c r="H27" s="21">
        <v>5290282.4000000004</v>
      </c>
      <c r="I27" s="21">
        <v>291055.06</v>
      </c>
      <c r="J27" s="27">
        <f t="shared" si="2"/>
        <v>9992890.4039999992</v>
      </c>
      <c r="K27" s="61">
        <v>0</v>
      </c>
      <c r="L27" s="21">
        <v>182436.80267111809</v>
      </c>
      <c r="M27" s="21"/>
      <c r="N27" s="21"/>
      <c r="P27" s="21">
        <v>782512.29</v>
      </c>
      <c r="Q27" s="21">
        <v>93809.697409305722</v>
      </c>
      <c r="R27" s="62">
        <v>0</v>
      </c>
      <c r="S27" s="21"/>
      <c r="U27" s="21">
        <v>41160.619951984001</v>
      </c>
      <c r="W27" s="25">
        <v>11914</v>
      </c>
      <c r="X27" s="25">
        <v>11626</v>
      </c>
      <c r="Y27" s="26">
        <v>21.546533631515558</v>
      </c>
      <c r="Z27" s="25">
        <v>1905</v>
      </c>
      <c r="AA27" s="26">
        <v>46.351706036745412</v>
      </c>
      <c r="AB27" s="25">
        <v>61100</v>
      </c>
      <c r="AD27" s="18">
        <v>0</v>
      </c>
      <c r="AF27" s="18">
        <v>8692538.4800000004</v>
      </c>
      <c r="AG27" s="18"/>
      <c r="AH27" s="119">
        <v>7338473</v>
      </c>
      <c r="AJ27" s="39" t="s">
        <v>325</v>
      </c>
      <c r="AK27" s="31" t="e">
        <f>VLOOKUP($AK$2,A4:AH30,34,)</f>
        <v>#REF!</v>
      </c>
      <c r="AR27" s="24"/>
    </row>
    <row r="28" spans="1:44" s="29" customFormat="1" ht="16.2" thickBot="1">
      <c r="A28" s="28" t="s">
        <v>243</v>
      </c>
      <c r="B28" s="21">
        <v>435012.92799999996</v>
      </c>
      <c r="C28" s="21">
        <v>67014.960000000006</v>
      </c>
      <c r="D28" s="21">
        <f t="shared" si="3"/>
        <v>502027.88799999998</v>
      </c>
      <c r="E28" s="21">
        <v>38758.576000000001</v>
      </c>
      <c r="F28" s="21">
        <v>12640.256000000001</v>
      </c>
      <c r="G28" s="21">
        <f t="shared" si="4"/>
        <v>51398.832000000002</v>
      </c>
      <c r="H28" s="21">
        <v>585134.67000000004</v>
      </c>
      <c r="I28" s="21">
        <v>49948.9</v>
      </c>
      <c r="J28" s="27">
        <f t="shared" si="2"/>
        <v>1188510.29</v>
      </c>
      <c r="K28" s="61">
        <v>0</v>
      </c>
      <c r="L28" s="21">
        <v>21682.328047667306</v>
      </c>
      <c r="M28" s="21">
        <v>14440</v>
      </c>
      <c r="N28" s="21">
        <v>172875.39347385807</v>
      </c>
      <c r="O28" s="19"/>
      <c r="P28" s="21">
        <v>93000.36</v>
      </c>
      <c r="Q28" s="21">
        <v>11151.627473858112</v>
      </c>
      <c r="R28" s="62">
        <v>0</v>
      </c>
      <c r="S28" s="21">
        <v>8095.1841845333583</v>
      </c>
      <c r="T28" s="18"/>
      <c r="U28" s="21">
        <v>4426.7815768279997</v>
      </c>
      <c r="V28" s="18"/>
      <c r="W28" s="25">
        <v>1633</v>
      </c>
      <c r="X28" s="25">
        <v>1599</v>
      </c>
      <c r="Y28" s="26">
        <v>28.642901813633529</v>
      </c>
      <c r="Z28" s="25">
        <v>172</v>
      </c>
      <c r="AA28" s="26">
        <v>40.697674418604649</v>
      </c>
      <c r="AB28" s="25">
        <v>6758</v>
      </c>
      <c r="AC28"/>
      <c r="AD28" s="18">
        <v>0</v>
      </c>
      <c r="AE28"/>
      <c r="AF28" s="18">
        <v>778556.55</v>
      </c>
      <c r="AG28" s="18"/>
      <c r="AH28" s="119">
        <v>2338474</v>
      </c>
      <c r="AM28" s="2"/>
      <c r="AR28" s="24"/>
    </row>
    <row r="29" spans="1:44" ht="16.2" thickBot="1">
      <c r="A29" s="28" t="s">
        <v>242</v>
      </c>
      <c r="B29" s="21">
        <v>17642934.056000002</v>
      </c>
      <c r="C29" s="21">
        <v>3147567.4000000004</v>
      </c>
      <c r="D29" s="21">
        <f t="shared" si="3"/>
        <v>20790501.456</v>
      </c>
      <c r="E29" s="21">
        <v>1729808.0079999999</v>
      </c>
      <c r="F29" s="21">
        <v>422009.97600000002</v>
      </c>
      <c r="G29" s="21">
        <f t="shared" si="4"/>
        <v>2151817.9840000002</v>
      </c>
      <c r="H29" s="21">
        <v>30198334.600000001</v>
      </c>
      <c r="I29" s="21">
        <v>1700500.93</v>
      </c>
      <c r="J29" s="27">
        <f t="shared" si="2"/>
        <v>54841154.969999999</v>
      </c>
      <c r="K29" s="61">
        <v>0</v>
      </c>
      <c r="L29" s="21">
        <v>997466.6695633902</v>
      </c>
      <c r="M29" s="21"/>
      <c r="N29" s="21"/>
      <c r="P29" s="21">
        <v>4278357.87</v>
      </c>
      <c r="Q29" s="21">
        <v>535085.82804265618</v>
      </c>
      <c r="R29" s="62">
        <v>0</v>
      </c>
      <c r="S29" s="21"/>
      <c r="U29" s="21">
        <v>194251.69917792606</v>
      </c>
      <c r="W29" s="25">
        <v>67388</v>
      </c>
      <c r="X29" s="25">
        <v>63009</v>
      </c>
      <c r="Y29" s="26">
        <v>25.999460394546816</v>
      </c>
      <c r="Z29" s="25">
        <v>8228</v>
      </c>
      <c r="AA29" s="26">
        <v>44.385026737967912</v>
      </c>
      <c r="AB29" s="25">
        <v>348775</v>
      </c>
      <c r="AD29" s="18">
        <v>0</v>
      </c>
      <c r="AF29" s="18">
        <v>38768808.050000004</v>
      </c>
      <c r="AG29" s="18"/>
      <c r="AH29" s="119">
        <v>46649132</v>
      </c>
      <c r="AR29" s="24"/>
    </row>
    <row r="30" spans="1:44" ht="16.2" thickBot="1">
      <c r="A30" s="28" t="s">
        <v>241</v>
      </c>
      <c r="B30" s="21">
        <v>233109.96000000008</v>
      </c>
      <c r="C30" s="21">
        <v>33368.248</v>
      </c>
      <c r="D30" s="21">
        <f t="shared" si="3"/>
        <v>266478.2080000001</v>
      </c>
      <c r="E30" s="21">
        <v>29739.488000000001</v>
      </c>
      <c r="F30" s="21">
        <v>15518.023999999999</v>
      </c>
      <c r="G30" s="21">
        <f t="shared" si="4"/>
        <v>45257.512000000002</v>
      </c>
      <c r="H30" s="21">
        <v>478376.6</v>
      </c>
      <c r="I30" s="21">
        <v>44505.71</v>
      </c>
      <c r="J30" s="27">
        <f t="shared" si="2"/>
        <v>834618.03000000014</v>
      </c>
      <c r="K30" s="61">
        <v>0</v>
      </c>
      <c r="L30" s="21">
        <v>15389.346166549039</v>
      </c>
      <c r="M30" s="21">
        <v>12440</v>
      </c>
      <c r="N30" s="21">
        <v>435878.42532100301</v>
      </c>
      <c r="P30" s="21">
        <v>66008.350000000006</v>
      </c>
      <c r="Q30" s="21">
        <v>8007.9933210030576</v>
      </c>
      <c r="R30" s="62">
        <v>0</v>
      </c>
      <c r="S30" s="21">
        <v>5193.9456658119079</v>
      </c>
      <c r="U30" s="21">
        <v>3341.2706063620008</v>
      </c>
      <c r="W30" s="25">
        <v>873</v>
      </c>
      <c r="X30" s="25">
        <v>854</v>
      </c>
      <c r="Y30" s="26">
        <v>27.868852459016395</v>
      </c>
      <c r="Z30" s="25">
        <v>213</v>
      </c>
      <c r="AA30" s="26">
        <v>63.380281690140841</v>
      </c>
      <c r="AB30" s="25">
        <v>5525</v>
      </c>
      <c r="AD30" s="18">
        <v>0</v>
      </c>
      <c r="AF30" s="18">
        <v>863875.25</v>
      </c>
      <c r="AG30" s="18"/>
      <c r="AH30" s="119">
        <v>1607363</v>
      </c>
      <c r="AR30" s="24"/>
    </row>
    <row r="31" spans="1:44">
      <c r="P31" s="23"/>
      <c r="Q31" s="23"/>
    </row>
    <row r="32" spans="1:44">
      <c r="A32" s="22" t="s">
        <v>322</v>
      </c>
      <c r="B32" s="25">
        <v>2</v>
      </c>
      <c r="C32" s="25">
        <f>B32+1</f>
        <v>3</v>
      </c>
      <c r="D32" s="25">
        <f t="shared" ref="D32:AH32" si="5">C32+1</f>
        <v>4</v>
      </c>
      <c r="E32" s="25">
        <f t="shared" si="5"/>
        <v>5</v>
      </c>
      <c r="F32" s="25">
        <f t="shared" si="5"/>
        <v>6</v>
      </c>
      <c r="G32" s="25">
        <f t="shared" si="5"/>
        <v>7</v>
      </c>
      <c r="H32" s="25">
        <f t="shared" si="5"/>
        <v>8</v>
      </c>
      <c r="I32" s="25">
        <f t="shared" si="5"/>
        <v>9</v>
      </c>
      <c r="J32" s="25">
        <f t="shared" si="5"/>
        <v>10</v>
      </c>
      <c r="K32" s="25">
        <f t="shared" si="5"/>
        <v>11</v>
      </c>
      <c r="L32" s="25">
        <f t="shared" si="5"/>
        <v>12</v>
      </c>
      <c r="M32" s="25">
        <f t="shared" si="5"/>
        <v>13</v>
      </c>
      <c r="N32" s="25">
        <f t="shared" si="5"/>
        <v>14</v>
      </c>
      <c r="O32" s="25">
        <f t="shared" si="5"/>
        <v>15</v>
      </c>
      <c r="P32" s="25">
        <f t="shared" si="5"/>
        <v>16</v>
      </c>
      <c r="Q32" s="25">
        <f t="shared" si="5"/>
        <v>17</v>
      </c>
      <c r="R32" s="25">
        <f t="shared" si="5"/>
        <v>18</v>
      </c>
      <c r="S32" s="25">
        <f t="shared" si="5"/>
        <v>19</v>
      </c>
      <c r="T32" s="25">
        <f t="shared" si="5"/>
        <v>20</v>
      </c>
      <c r="U32" s="25">
        <f t="shared" si="5"/>
        <v>21</v>
      </c>
      <c r="V32" s="25">
        <f t="shared" si="5"/>
        <v>22</v>
      </c>
      <c r="W32" s="25">
        <f t="shared" si="5"/>
        <v>23</v>
      </c>
      <c r="X32" s="25">
        <f t="shared" si="5"/>
        <v>24</v>
      </c>
      <c r="Y32" s="25">
        <f t="shared" si="5"/>
        <v>25</v>
      </c>
      <c r="Z32" s="25">
        <f t="shared" si="5"/>
        <v>26</v>
      </c>
      <c r="AA32" s="25">
        <f t="shared" si="5"/>
        <v>27</v>
      </c>
      <c r="AB32" s="25">
        <f t="shared" si="5"/>
        <v>28</v>
      </c>
      <c r="AC32" s="25">
        <f t="shared" si="5"/>
        <v>29</v>
      </c>
      <c r="AD32" s="25">
        <f t="shared" si="5"/>
        <v>30</v>
      </c>
      <c r="AE32" s="25">
        <f t="shared" si="5"/>
        <v>31</v>
      </c>
      <c r="AF32" s="25">
        <f t="shared" si="5"/>
        <v>32</v>
      </c>
      <c r="AG32" s="25">
        <f t="shared" si="5"/>
        <v>33</v>
      </c>
      <c r="AH32" s="25">
        <f t="shared" si="5"/>
        <v>34</v>
      </c>
    </row>
    <row r="33" spans="16:17" hidden="1">
      <c r="P33" s="86"/>
      <c r="Q33" s="86"/>
    </row>
    <row r="34" spans="16:17" hidden="1">
      <c r="P34" s="86"/>
      <c r="Q34" s="86"/>
    </row>
    <row r="35" spans="16:17" hidden="1">
      <c r="P35" s="86"/>
      <c r="Q35" s="86"/>
    </row>
    <row r="36" spans="16:17" hidden="1">
      <c r="P36" s="86"/>
      <c r="Q36" s="86"/>
    </row>
  </sheetData>
  <mergeCells count="20">
    <mergeCell ref="AM2:AN2"/>
    <mergeCell ref="AJ18:AK18"/>
    <mergeCell ref="A1:A3"/>
    <mergeCell ref="B1:J1"/>
    <mergeCell ref="E2:G2"/>
    <mergeCell ref="B2:D2"/>
    <mergeCell ref="I2:I3"/>
    <mergeCell ref="AH2:AH3"/>
    <mergeCell ref="AJ26:AK26"/>
    <mergeCell ref="H2:H3"/>
    <mergeCell ref="J2:J3"/>
    <mergeCell ref="L1:N2"/>
    <mergeCell ref="P1:Q2"/>
    <mergeCell ref="W1:AB1"/>
    <mergeCell ref="W2:Y2"/>
    <mergeCell ref="Z2:AA2"/>
    <mergeCell ref="S1:S2"/>
    <mergeCell ref="U1:U2"/>
    <mergeCell ref="AD2:AD3"/>
    <mergeCell ref="AF2:AF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IO26"/>
  <sheetViews>
    <sheetView showGridLines="0" zoomScaleNormal="100" workbookViewId="0">
      <pane ySplit="2" topLeftCell="A4" activePane="bottomLeft" state="frozen"/>
      <selection activeCell="A2" sqref="A2"/>
      <selection pane="bottomLeft" activeCell="B13" sqref="B13"/>
    </sheetView>
  </sheetViews>
  <sheetFormatPr defaultColWidth="0" defaultRowHeight="22.8" zeroHeight="1"/>
  <cols>
    <col min="1" max="1" width="16.5546875" style="67" customWidth="1"/>
    <col min="2" max="2" width="70.44140625" style="68" customWidth="1"/>
    <col min="3" max="3" width="10.6640625" style="68" customWidth="1"/>
    <col min="4" max="4" width="12.33203125" style="73" bestFit="1" customWidth="1"/>
    <col min="5" max="5" width="10.6640625" style="68" customWidth="1"/>
    <col min="6" max="6" width="10.6640625" style="73" customWidth="1"/>
    <col min="7" max="7" width="10.6640625" style="68" customWidth="1"/>
    <col min="8" max="8" width="14.109375" style="73" bestFit="1" customWidth="1"/>
    <col min="9" max="9" width="10.6640625" style="68" customWidth="1"/>
    <col min="10" max="10" width="15" style="73" bestFit="1" customWidth="1"/>
    <col min="11" max="11" width="12.33203125" style="68" bestFit="1" customWidth="1"/>
    <col min="12" max="12" width="8.5546875" style="64" customWidth="1"/>
    <col min="13" max="13" width="55.88671875" style="80" customWidth="1"/>
    <col min="14" max="249" width="0" style="64" hidden="1" customWidth="1"/>
    <col min="250" max="16384" width="22.5546875" style="64" hidden="1"/>
  </cols>
  <sheetData>
    <row r="1" spans="1:13">
      <c r="A1" s="439" t="s">
        <v>316</v>
      </c>
      <c r="B1" s="439" t="s">
        <v>315</v>
      </c>
      <c r="C1" s="438" t="s">
        <v>314</v>
      </c>
      <c r="D1" s="438"/>
      <c r="E1" s="438" t="s">
        <v>317</v>
      </c>
      <c r="F1" s="438"/>
      <c r="G1" s="438" t="s">
        <v>313</v>
      </c>
      <c r="H1" s="438"/>
      <c r="I1" s="438" t="s">
        <v>312</v>
      </c>
      <c r="J1" s="438"/>
      <c r="K1" s="441" t="s">
        <v>311</v>
      </c>
      <c r="M1" s="81" t="s">
        <v>318</v>
      </c>
    </row>
    <row r="2" spans="1:13">
      <c r="A2" s="440"/>
      <c r="B2" s="440"/>
      <c r="C2" s="75" t="s">
        <v>310</v>
      </c>
      <c r="D2" s="76" t="s">
        <v>36</v>
      </c>
      <c r="E2" s="75" t="s">
        <v>310</v>
      </c>
      <c r="F2" s="76" t="s">
        <v>36</v>
      </c>
      <c r="G2" s="75" t="s">
        <v>310</v>
      </c>
      <c r="H2" s="76" t="s">
        <v>36</v>
      </c>
      <c r="I2" s="75" t="s">
        <v>310</v>
      </c>
      <c r="J2" s="76" t="s">
        <v>36</v>
      </c>
      <c r="K2" s="442"/>
      <c r="M2" s="81" t="s">
        <v>319</v>
      </c>
    </row>
    <row r="3" spans="1:13" ht="30.75" customHeight="1">
      <c r="A3" s="443" t="s">
        <v>124</v>
      </c>
      <c r="B3" s="66" t="s">
        <v>14</v>
      </c>
      <c r="C3" s="187">
        <f>COUNTIFS('Quadro Geral'!$D:$D,'Matriz de Obj. Estrat.'!$B3,'Quadro Geral'!$B:$B,"P")</f>
        <v>0</v>
      </c>
      <c r="D3" s="188">
        <f>SUMIFS('Quadro Geral'!$G:$G,'Quadro Geral'!$D:$D,'Matriz de Obj. Estrat.'!$B3,'Quadro Geral'!$B:$B,"P")</f>
        <v>0</v>
      </c>
      <c r="E3" s="187">
        <f>COUNTIFS('Quadro Geral'!$D:$D,'Matriz de Obj. Estrat.'!$B3,'Quadro Geral'!$B:$B,"PE")</f>
        <v>0</v>
      </c>
      <c r="F3" s="188">
        <f>SUMIFS('Quadro Geral'!$G:$G,'Quadro Geral'!$D:$D,'Matriz de Obj. Estrat.'!$B3,'Quadro Geral'!$B:$B,"PE")</f>
        <v>0</v>
      </c>
      <c r="G3" s="187">
        <f>COUNTIFS('Quadro Geral'!$D:$D,'Matriz de Obj. Estrat.'!$B3,'Quadro Geral'!$B:$B,"A")</f>
        <v>0</v>
      </c>
      <c r="H3" s="188">
        <f>SUMIFS('Quadro Geral'!$G:$G,'Quadro Geral'!$D:$D,'Matriz de Obj. Estrat.'!$B3,'Quadro Geral'!$B:$B,"A")</f>
        <v>0</v>
      </c>
      <c r="I3" s="187">
        <f>C3+E3+G3</f>
        <v>0</v>
      </c>
      <c r="J3" s="188">
        <f>D3+F3+H3</f>
        <v>0</v>
      </c>
      <c r="K3" s="189">
        <f t="shared" ref="K3:K18" si="0">IFERROR(J3/$J$19*100,0)</f>
        <v>0</v>
      </c>
      <c r="M3" s="186" t="s">
        <v>24</v>
      </c>
    </row>
    <row r="4" spans="1:13" ht="30.75" customHeight="1">
      <c r="A4" s="443"/>
      <c r="B4" s="66" t="s">
        <v>113</v>
      </c>
      <c r="C4" s="187">
        <f>COUNTIFS('Quadro Geral'!$D:$D,'Matriz de Obj. Estrat.'!$B4,'Quadro Geral'!$B:$B,"P")</f>
        <v>0</v>
      </c>
      <c r="D4" s="188">
        <f>SUMIFS('Quadro Geral'!$G:$G,'Quadro Geral'!$D:$D,'Matriz de Obj. Estrat.'!$B4,'Quadro Geral'!$B:$B,"P")</f>
        <v>0</v>
      </c>
      <c r="E4" s="187">
        <f>COUNTIFS('Quadro Geral'!$D:$D,'Matriz de Obj. Estrat.'!$B4,'Quadro Geral'!$B:$B,"PE")</f>
        <v>0</v>
      </c>
      <c r="F4" s="188">
        <f>SUMIFS('Quadro Geral'!$G:$G,'Quadro Geral'!$D:$D,'Matriz de Obj. Estrat.'!$B4,'Quadro Geral'!$B:$B,"PE")</f>
        <v>0</v>
      </c>
      <c r="G4" s="187">
        <f>COUNTIFS('Quadro Geral'!$D:$D,'Matriz de Obj. Estrat.'!$B4,'Quadro Geral'!$B:$B,"A")</f>
        <v>0</v>
      </c>
      <c r="H4" s="188">
        <f>SUMIFS('Quadro Geral'!$G:$G,'Quadro Geral'!$D:$D,'Matriz de Obj. Estrat.'!$B4,'Quadro Geral'!$B:$B,"A")</f>
        <v>0</v>
      </c>
      <c r="I4" s="187">
        <f t="shared" ref="I4:I18" si="1">C4+E4+G4</f>
        <v>0</v>
      </c>
      <c r="J4" s="188">
        <f t="shared" ref="J4:J18" si="2">D4+F4+H4</f>
        <v>0</v>
      </c>
      <c r="K4" s="189">
        <f t="shared" si="0"/>
        <v>0</v>
      </c>
      <c r="M4" s="186" t="s">
        <v>22</v>
      </c>
    </row>
    <row r="5" spans="1:13" ht="30.75" customHeight="1">
      <c r="A5" s="444" t="s">
        <v>309</v>
      </c>
      <c r="B5" s="66" t="s">
        <v>15</v>
      </c>
      <c r="C5" s="187">
        <f>COUNTIFS('Quadro Geral'!$D:$D,'Matriz de Obj. Estrat.'!$B5,'Quadro Geral'!$B:$B,"P")</f>
        <v>0</v>
      </c>
      <c r="D5" s="188">
        <f>SUMIFS('Quadro Geral'!$G:$G,'Quadro Geral'!$D:$D,'Matriz de Obj. Estrat.'!$B5,'Quadro Geral'!$B:$B,"P")</f>
        <v>0</v>
      </c>
      <c r="E5" s="187">
        <f>COUNTIFS('Quadro Geral'!$D:$D,'Matriz de Obj. Estrat.'!$B5,'Quadro Geral'!$B:$B,"PE")</f>
        <v>0</v>
      </c>
      <c r="F5" s="188">
        <f>SUMIFS('Quadro Geral'!$G:$G,'Quadro Geral'!$D:$D,'Matriz de Obj. Estrat.'!$B5,'Quadro Geral'!$B:$B,"PE")</f>
        <v>0</v>
      </c>
      <c r="G5" s="187">
        <f>COUNTIFS('Quadro Geral'!$D:$D,'Matriz de Obj. Estrat.'!$B5,'Quadro Geral'!$B:$B,"A")</f>
        <v>2</v>
      </c>
      <c r="H5" s="188">
        <f>SUMIFS('Quadro Geral'!$G:$G,'Quadro Geral'!$D:$D,'Matriz de Obj. Estrat.'!$B5,'Quadro Geral'!$B:$B,"A")</f>
        <v>577143.87</v>
      </c>
      <c r="I5" s="187">
        <f t="shared" si="1"/>
        <v>2</v>
      </c>
      <c r="J5" s="188">
        <f t="shared" si="2"/>
        <v>577143.87</v>
      </c>
      <c r="K5" s="189">
        <f t="shared" si="0"/>
        <v>29.522454859602675</v>
      </c>
      <c r="M5" s="186" t="s">
        <v>27</v>
      </c>
    </row>
    <row r="6" spans="1:13" ht="30.75" customHeight="1">
      <c r="A6" s="444"/>
      <c r="B6" s="66" t="s">
        <v>82</v>
      </c>
      <c r="C6" s="187">
        <f>COUNTIFS('Quadro Geral'!$D:$D,'Matriz de Obj. Estrat.'!$B6,'Quadro Geral'!$B:$B,"P")</f>
        <v>0</v>
      </c>
      <c r="D6" s="188">
        <f>SUMIFS('Quadro Geral'!$G:$G,'Quadro Geral'!$D:$D,'Matriz de Obj. Estrat.'!$B6,'Quadro Geral'!$B:$B,"P")</f>
        <v>0</v>
      </c>
      <c r="E6" s="187">
        <f>COUNTIFS('Quadro Geral'!$D:$D,'Matriz de Obj. Estrat.'!$B6,'Quadro Geral'!$B:$B,"PE")</f>
        <v>0</v>
      </c>
      <c r="F6" s="188">
        <f>SUMIFS('Quadro Geral'!$G:$G,'Quadro Geral'!$D:$D,'Matriz de Obj. Estrat.'!$B6,'Quadro Geral'!$B:$B,"PE")</f>
        <v>0</v>
      </c>
      <c r="G6" s="187">
        <f>COUNTIFS('Quadro Geral'!$D:$D,'Matriz de Obj. Estrat.'!$B6,'Quadro Geral'!$B:$B,"A")</f>
        <v>2</v>
      </c>
      <c r="H6" s="188">
        <f>SUMIFS('Quadro Geral'!$G:$G,'Quadro Geral'!$D:$D,'Matriz de Obj. Estrat.'!$B6,'Quadro Geral'!$B:$B,"A")</f>
        <v>234002.12</v>
      </c>
      <c r="I6" s="187">
        <f t="shared" si="1"/>
        <v>2</v>
      </c>
      <c r="J6" s="188">
        <f t="shared" si="2"/>
        <v>234002.12</v>
      </c>
      <c r="K6" s="189">
        <f t="shared" si="0"/>
        <v>11.969835224536524</v>
      </c>
    </row>
    <row r="7" spans="1:13" ht="30.75" customHeight="1">
      <c r="A7" s="444"/>
      <c r="B7" s="66" t="s">
        <v>17</v>
      </c>
      <c r="C7" s="187">
        <f>COUNTIFS('Quadro Geral'!$D:$D,'Matriz de Obj. Estrat.'!$B7,'Quadro Geral'!$B:$B,"P")</f>
        <v>0</v>
      </c>
      <c r="D7" s="188">
        <f>SUMIFS('Quadro Geral'!$G:$G,'Quadro Geral'!$D:$D,'Matriz de Obj. Estrat.'!$B7,'Quadro Geral'!$B:$B,"P")</f>
        <v>0</v>
      </c>
      <c r="E7" s="187">
        <f>COUNTIFS('Quadro Geral'!$D:$D,'Matriz de Obj. Estrat.'!$B7,'Quadro Geral'!$B:$B,"PE")</f>
        <v>0</v>
      </c>
      <c r="F7" s="188">
        <f>SUMIFS('Quadro Geral'!$G:$G,'Quadro Geral'!$D:$D,'Matriz de Obj. Estrat.'!$B7,'Quadro Geral'!$B:$B,"PE")</f>
        <v>0</v>
      </c>
      <c r="G7" s="187">
        <f>COUNTIFS('Quadro Geral'!$D:$D,'Matriz de Obj. Estrat.'!$B7,'Quadro Geral'!$B:$B,"A")</f>
        <v>1</v>
      </c>
      <c r="H7" s="188">
        <f>SUMIFS('Quadro Geral'!$G:$G,'Quadro Geral'!$D:$D,'Matriz de Obj. Estrat.'!$B7,'Quadro Geral'!$B:$B,"A")</f>
        <v>9433.5499999999993</v>
      </c>
      <c r="I7" s="187">
        <f t="shared" si="1"/>
        <v>1</v>
      </c>
      <c r="J7" s="188">
        <f t="shared" si="2"/>
        <v>9433.5499999999993</v>
      </c>
      <c r="K7" s="189">
        <f t="shared" si="0"/>
        <v>0.48255135074172195</v>
      </c>
    </row>
    <row r="8" spans="1:13" ht="30.75" customHeight="1">
      <c r="A8" s="444"/>
      <c r="B8" s="66" t="s">
        <v>94</v>
      </c>
      <c r="C8" s="187">
        <f>COUNTIFS('Quadro Geral'!$D:$D,'Matriz de Obj. Estrat.'!$B8,'Quadro Geral'!$B:$B,"P")</f>
        <v>0</v>
      </c>
      <c r="D8" s="188">
        <f>SUMIFS('Quadro Geral'!$G:$G,'Quadro Geral'!$D:$D,'Matriz de Obj. Estrat.'!$B8,'Quadro Geral'!$B:$B,"P")</f>
        <v>0</v>
      </c>
      <c r="E8" s="187">
        <f>COUNTIFS('Quadro Geral'!$D:$D,'Matriz de Obj. Estrat.'!$B8,'Quadro Geral'!$B:$B,"PE")</f>
        <v>0</v>
      </c>
      <c r="F8" s="188">
        <f>SUMIFS('Quadro Geral'!$G:$G,'Quadro Geral'!$D:$D,'Matriz de Obj. Estrat.'!$B8,'Quadro Geral'!$B:$B,"PE")</f>
        <v>0</v>
      </c>
      <c r="G8" s="187">
        <f>COUNTIFS('Quadro Geral'!$D:$D,'Matriz de Obj. Estrat.'!$B8,'Quadro Geral'!$B:$B,"A")</f>
        <v>0</v>
      </c>
      <c r="H8" s="188">
        <f>SUMIFS('Quadro Geral'!$G:$G,'Quadro Geral'!$D:$D,'Matriz de Obj. Estrat.'!$B8,'Quadro Geral'!$B:$B,"A")</f>
        <v>0</v>
      </c>
      <c r="I8" s="187">
        <f t="shared" si="1"/>
        <v>0</v>
      </c>
      <c r="J8" s="188">
        <f t="shared" si="2"/>
        <v>0</v>
      </c>
      <c r="K8" s="189">
        <f t="shared" si="0"/>
        <v>0</v>
      </c>
    </row>
    <row r="9" spans="1:13" ht="30.75" customHeight="1">
      <c r="A9" s="444"/>
      <c r="B9" s="66" t="s">
        <v>114</v>
      </c>
      <c r="C9" s="187">
        <f>COUNTIFS('Quadro Geral'!$D:$D,'Matriz de Obj. Estrat.'!$B9,'Quadro Geral'!$B:$B,"P")</f>
        <v>0</v>
      </c>
      <c r="D9" s="188">
        <f>SUMIFS('Quadro Geral'!$G:$G,'Quadro Geral'!$D:$D,'Matriz de Obj. Estrat.'!$B9,'Quadro Geral'!$B:$B,"P")</f>
        <v>0</v>
      </c>
      <c r="E9" s="187">
        <f>COUNTIFS('Quadro Geral'!$D:$D,'Matriz de Obj. Estrat.'!$B9,'Quadro Geral'!$B:$B,"PE")</f>
        <v>0</v>
      </c>
      <c r="F9" s="188">
        <f>SUMIFS('Quadro Geral'!$G:$G,'Quadro Geral'!$D:$D,'Matriz de Obj. Estrat.'!$B9,'Quadro Geral'!$B:$B,"PE")</f>
        <v>0</v>
      </c>
      <c r="G9" s="187">
        <f>COUNTIFS('Quadro Geral'!$D:$D,'Matriz de Obj. Estrat.'!$B9,'Quadro Geral'!$B:$B,"A")</f>
        <v>0</v>
      </c>
      <c r="H9" s="188">
        <f>SUMIFS('Quadro Geral'!$G:$G,'Quadro Geral'!$D:$D,'Matriz de Obj. Estrat.'!$B9,'Quadro Geral'!$B:$B,"A")</f>
        <v>0</v>
      </c>
      <c r="I9" s="187">
        <f t="shared" si="1"/>
        <v>0</v>
      </c>
      <c r="J9" s="188">
        <f t="shared" si="2"/>
        <v>0</v>
      </c>
      <c r="K9" s="189">
        <f t="shared" si="0"/>
        <v>0</v>
      </c>
    </row>
    <row r="10" spans="1:13" ht="30.75" customHeight="1">
      <c r="A10" s="444"/>
      <c r="B10" s="66" t="s">
        <v>88</v>
      </c>
      <c r="C10" s="187">
        <f>COUNTIFS('Quadro Geral'!$D:$D,'Matriz de Obj. Estrat.'!$B10,'Quadro Geral'!$B:$B,"P")</f>
        <v>0</v>
      </c>
      <c r="D10" s="188">
        <f>SUMIFS('Quadro Geral'!$G:$G,'Quadro Geral'!$D:$D,'Matriz de Obj. Estrat.'!$B10,'Quadro Geral'!$B:$B,"P")</f>
        <v>0</v>
      </c>
      <c r="E10" s="187">
        <f>COUNTIFS('Quadro Geral'!$D:$D,'Matriz de Obj. Estrat.'!$B10,'Quadro Geral'!$B:$B,"PE")</f>
        <v>0</v>
      </c>
      <c r="F10" s="188">
        <f>SUMIFS('Quadro Geral'!$G:$G,'Quadro Geral'!$D:$D,'Matriz de Obj. Estrat.'!$B10,'Quadro Geral'!$B:$B,"PE")</f>
        <v>0</v>
      </c>
      <c r="G10" s="187">
        <f>COUNTIFS('Quadro Geral'!$D:$D,'Matriz de Obj. Estrat.'!$B10,'Quadro Geral'!$B:$B,"A")</f>
        <v>1</v>
      </c>
      <c r="H10" s="188">
        <f>SUMIFS('Quadro Geral'!$G:$G,'Quadro Geral'!$D:$D,'Matriz de Obj. Estrat.'!$B10,'Quadro Geral'!$B:$B,"A")</f>
        <v>4654.09</v>
      </c>
      <c r="I10" s="187">
        <f t="shared" si="1"/>
        <v>1</v>
      </c>
      <c r="J10" s="188">
        <f t="shared" si="2"/>
        <v>4654.09</v>
      </c>
      <c r="K10" s="189">
        <f t="shared" si="0"/>
        <v>0.23806916971591194</v>
      </c>
    </row>
    <row r="11" spans="1:13" ht="30.75" customHeight="1">
      <c r="A11" s="444"/>
      <c r="B11" s="66" t="s">
        <v>20</v>
      </c>
      <c r="C11" s="187">
        <f>COUNTIFS('Quadro Geral'!$D:$D,'Matriz de Obj. Estrat.'!$B11,'Quadro Geral'!$B:$B,"P")</f>
        <v>0</v>
      </c>
      <c r="D11" s="188">
        <f>SUMIFS('Quadro Geral'!$G:$G,'Quadro Geral'!$D:$D,'Matriz de Obj. Estrat.'!$B11,'Quadro Geral'!$B:$B,"P")</f>
        <v>0</v>
      </c>
      <c r="E11" s="187">
        <f>COUNTIFS('Quadro Geral'!$D:$D,'Matriz de Obj. Estrat.'!$B11,'Quadro Geral'!$B:$B,"PE")</f>
        <v>0</v>
      </c>
      <c r="F11" s="188">
        <f>SUMIFS('Quadro Geral'!$G:$G,'Quadro Geral'!$D:$D,'Matriz de Obj. Estrat.'!$B11,'Quadro Geral'!$B:$B,"PE")</f>
        <v>0</v>
      </c>
      <c r="G11" s="187">
        <f>COUNTIFS('Quadro Geral'!$D:$D,'Matriz de Obj. Estrat.'!$B11,'Quadro Geral'!$B:$B,"A")</f>
        <v>1</v>
      </c>
      <c r="H11" s="188">
        <f>SUMIFS('Quadro Geral'!$G:$G,'Quadro Geral'!$D:$D,'Matriz de Obj. Estrat.'!$B11,'Quadro Geral'!$B:$B,"A")</f>
        <v>41084.410000000003</v>
      </c>
      <c r="I11" s="187">
        <f t="shared" si="1"/>
        <v>1</v>
      </c>
      <c r="J11" s="188">
        <f t="shared" si="2"/>
        <v>41084.410000000003</v>
      </c>
      <c r="K11" s="189">
        <f t="shared" si="0"/>
        <v>2.1015776181741459</v>
      </c>
    </row>
    <row r="12" spans="1:13" ht="30.75" customHeight="1">
      <c r="A12" s="444"/>
      <c r="B12" s="66" t="s">
        <v>21</v>
      </c>
      <c r="C12" s="187">
        <f>COUNTIFS('Quadro Geral'!$D:$D,'Matriz de Obj. Estrat.'!$B12,'Quadro Geral'!$B:$B,"P")</f>
        <v>0</v>
      </c>
      <c r="D12" s="188">
        <f>SUMIFS('Quadro Geral'!$G:$G,'Quadro Geral'!$D:$D,'Matriz de Obj. Estrat.'!$B12,'Quadro Geral'!$B:$B,"P")</f>
        <v>0</v>
      </c>
      <c r="E12" s="187">
        <f>COUNTIFS('Quadro Geral'!$D:$D,'Matriz de Obj. Estrat.'!$B12,'Quadro Geral'!$B:$B,"PE")</f>
        <v>0</v>
      </c>
      <c r="F12" s="188">
        <f>SUMIFS('Quadro Geral'!$G:$G,'Quadro Geral'!$D:$D,'Matriz de Obj. Estrat.'!$B12,'Quadro Geral'!$B:$B,"PE")</f>
        <v>0</v>
      </c>
      <c r="G12" s="187">
        <f>COUNTIFS('Quadro Geral'!$D:$D,'Matriz de Obj. Estrat.'!$B12,'Quadro Geral'!$B:$B,"A")</f>
        <v>1</v>
      </c>
      <c r="H12" s="188">
        <f>SUMIFS('Quadro Geral'!$G:$G,'Quadro Geral'!$D:$D,'Matriz de Obj. Estrat.'!$B12,'Quadro Geral'!$B:$B,"A")</f>
        <v>56569.35</v>
      </c>
      <c r="I12" s="187">
        <f t="shared" si="1"/>
        <v>1</v>
      </c>
      <c r="J12" s="188">
        <f t="shared" si="2"/>
        <v>56569.35</v>
      </c>
      <c r="K12" s="189">
        <f t="shared" si="0"/>
        <v>2.8936737763706382</v>
      </c>
    </row>
    <row r="13" spans="1:13" ht="30.75" customHeight="1">
      <c r="A13" s="444"/>
      <c r="B13" s="66" t="s">
        <v>22</v>
      </c>
      <c r="C13" s="187">
        <f>COUNTIFS('Quadro Geral'!$D:$D,'Matriz de Obj. Estrat.'!$B13,'Quadro Geral'!$B:$B,"P")</f>
        <v>1</v>
      </c>
      <c r="D13" s="188">
        <f>SUMIFS('Quadro Geral'!$G:$G,'Quadro Geral'!$D:$D,'Matriz de Obj. Estrat.'!$B13,'Quadro Geral'!$B:$B,"P")</f>
        <v>26796.11</v>
      </c>
      <c r="E13" s="187">
        <f>COUNTIFS('Quadro Geral'!$D:$D,'Matriz de Obj. Estrat.'!$B13,'Quadro Geral'!$B:$B,"PE")</f>
        <v>1</v>
      </c>
      <c r="F13" s="188">
        <f>SUMIFS('Quadro Geral'!$G:$G,'Quadro Geral'!$D:$D,'Matriz de Obj. Estrat.'!$B13,'Quadro Geral'!$B:$B,"PE")</f>
        <v>453.89</v>
      </c>
      <c r="G13" s="187">
        <f>COUNTIFS('Quadro Geral'!$D:$D,'Matriz de Obj. Estrat.'!$B13,'Quadro Geral'!$B:$B,"A")</f>
        <v>0</v>
      </c>
      <c r="H13" s="188">
        <f>SUMIFS('Quadro Geral'!$G:$G,'Quadro Geral'!$D:$D,'Matriz de Obj. Estrat.'!$B13,'Quadro Geral'!$B:$B,"A")</f>
        <v>0</v>
      </c>
      <c r="I13" s="187">
        <f t="shared" si="1"/>
        <v>2</v>
      </c>
      <c r="J13" s="188">
        <f t="shared" si="2"/>
        <v>27250</v>
      </c>
      <c r="K13" s="189">
        <f t="shared" si="0"/>
        <v>1.393910490505899</v>
      </c>
    </row>
    <row r="14" spans="1:13" ht="30.75" customHeight="1">
      <c r="A14" s="444"/>
      <c r="B14" s="66" t="s">
        <v>23</v>
      </c>
      <c r="C14" s="187">
        <f>COUNTIFS('Quadro Geral'!$D:$D,'Matriz de Obj. Estrat.'!$B14,'Quadro Geral'!$B:$B,"P")</f>
        <v>0</v>
      </c>
      <c r="D14" s="188">
        <f>SUMIFS('Quadro Geral'!$G:$G,'Quadro Geral'!$D:$D,'Matriz de Obj. Estrat.'!$B14,'Quadro Geral'!$B:$B,"P")</f>
        <v>0</v>
      </c>
      <c r="E14" s="187">
        <f>COUNTIFS('Quadro Geral'!$D:$D,'Matriz de Obj. Estrat.'!$B14,'Quadro Geral'!$B:$B,"PE")</f>
        <v>0</v>
      </c>
      <c r="F14" s="188">
        <f>SUMIFS('Quadro Geral'!$G:$G,'Quadro Geral'!$D:$D,'Matriz de Obj. Estrat.'!$B14,'Quadro Geral'!$B:$B,"PE")</f>
        <v>0</v>
      </c>
      <c r="G14" s="187">
        <f>COUNTIFS('Quadro Geral'!$D:$D,'Matriz de Obj. Estrat.'!$B14,'Quadro Geral'!$B:$B,"A")</f>
        <v>3</v>
      </c>
      <c r="H14" s="188">
        <f>SUMIFS('Quadro Geral'!$G:$G,'Quadro Geral'!$D:$D,'Matriz de Obj. Estrat.'!$B14,'Quadro Geral'!$B:$B,"A")</f>
        <v>23397.39</v>
      </c>
      <c r="I14" s="187">
        <f t="shared" si="1"/>
        <v>3</v>
      </c>
      <c r="J14" s="188">
        <f t="shared" si="2"/>
        <v>23397.39</v>
      </c>
      <c r="K14" s="189">
        <f t="shared" si="0"/>
        <v>1.1968391695947824</v>
      </c>
    </row>
    <row r="15" spans="1:13" ht="30.75" customHeight="1">
      <c r="A15" s="444"/>
      <c r="B15" s="66" t="s">
        <v>24</v>
      </c>
      <c r="C15" s="187">
        <f>COUNTIFS('Quadro Geral'!$D:$D,'Matriz de Obj. Estrat.'!$B15,'Quadro Geral'!$B:$B,"P")</f>
        <v>0</v>
      </c>
      <c r="D15" s="188">
        <f>SUMIFS('Quadro Geral'!$G:$G,'Quadro Geral'!$D:$D,'Matriz de Obj. Estrat.'!$B15,'Quadro Geral'!$B:$B,"P")</f>
        <v>0</v>
      </c>
      <c r="E15" s="187">
        <f>COUNTIFS('Quadro Geral'!$D:$D,'Matriz de Obj. Estrat.'!$B15,'Quadro Geral'!$B:$B,"PE")</f>
        <v>0</v>
      </c>
      <c r="F15" s="188">
        <f>SUMIFS('Quadro Geral'!$G:$G,'Quadro Geral'!$D:$D,'Matriz de Obj. Estrat.'!$B15,'Quadro Geral'!$B:$B,"PE")</f>
        <v>0</v>
      </c>
      <c r="G15" s="187">
        <f>COUNTIFS('Quadro Geral'!$D:$D,'Matriz de Obj. Estrat.'!$B15,'Quadro Geral'!$B:$B,"A")</f>
        <v>2</v>
      </c>
      <c r="H15" s="188">
        <f>SUMIFS('Quadro Geral'!$G:$G,'Quadro Geral'!$D:$D,'Matriz de Obj. Estrat.'!$B15,'Quadro Geral'!$B:$B,"A")</f>
        <v>345186.75</v>
      </c>
      <c r="I15" s="187">
        <f t="shared" si="1"/>
        <v>2</v>
      </c>
      <c r="J15" s="188">
        <f t="shared" si="2"/>
        <v>345186.75</v>
      </c>
      <c r="K15" s="189">
        <f t="shared" si="0"/>
        <v>17.657226862702284</v>
      </c>
    </row>
    <row r="16" spans="1:13" ht="30.75" customHeight="1">
      <c r="A16" s="436" t="s">
        <v>308</v>
      </c>
      <c r="B16" s="66" t="s">
        <v>25</v>
      </c>
      <c r="C16" s="187">
        <f>COUNTIFS('Quadro Geral'!$D:$D,'Matriz de Obj. Estrat.'!$B16,'Quadro Geral'!$B:$B,"P")</f>
        <v>1</v>
      </c>
      <c r="D16" s="188">
        <f>SUMIFS('Quadro Geral'!$G:$G,'Quadro Geral'!$D:$D,'Matriz de Obj. Estrat.'!$B16,'Quadro Geral'!$B:$B,"P")</f>
        <v>24000</v>
      </c>
      <c r="E16" s="187">
        <f>COUNTIFS('Quadro Geral'!$D:$D,'Matriz de Obj. Estrat.'!$B16,'Quadro Geral'!$B:$B,"PE")</f>
        <v>0</v>
      </c>
      <c r="F16" s="188">
        <f>SUMIFS('Quadro Geral'!$G:$G,'Quadro Geral'!$D:$D,'Matriz de Obj. Estrat.'!$B16,'Quadro Geral'!$B:$B,"PE")</f>
        <v>0</v>
      </c>
      <c r="G16" s="187">
        <f>COUNTIFS('Quadro Geral'!$D:$D,'Matriz de Obj. Estrat.'!$B16,'Quadro Geral'!$B:$B,"A")</f>
        <v>0</v>
      </c>
      <c r="H16" s="188">
        <f>SUMIFS('Quadro Geral'!$G:$G,'Quadro Geral'!$D:$D,'Matriz de Obj. Estrat.'!$B16,'Quadro Geral'!$B:$B,"A")</f>
        <v>0</v>
      </c>
      <c r="I16" s="187">
        <f t="shared" si="1"/>
        <v>1</v>
      </c>
      <c r="J16" s="188">
        <f t="shared" si="2"/>
        <v>24000</v>
      </c>
      <c r="K16" s="189">
        <f t="shared" si="0"/>
        <v>1.2276642852162047</v>
      </c>
    </row>
    <row r="17" spans="1:12" ht="30.75" customHeight="1">
      <c r="A17" s="436"/>
      <c r="B17" s="66" t="s">
        <v>26</v>
      </c>
      <c r="C17" s="187">
        <f>COUNTIFS('Quadro Geral'!$D:$D,'Matriz de Obj. Estrat.'!$B17,'Quadro Geral'!$B:$B,"P")</f>
        <v>0</v>
      </c>
      <c r="D17" s="188">
        <f>SUMIFS('Quadro Geral'!$G:$G,'Quadro Geral'!$D:$D,'Matriz de Obj. Estrat.'!$B17,'Quadro Geral'!$B:$B,"P")</f>
        <v>0</v>
      </c>
      <c r="E17" s="187">
        <f>COUNTIFS('Quadro Geral'!$D:$D,'Matriz de Obj. Estrat.'!$B17,'Quadro Geral'!$B:$B,"PE")</f>
        <v>0</v>
      </c>
      <c r="F17" s="188">
        <f>SUMIFS('Quadro Geral'!$G:$G,'Quadro Geral'!$D:$D,'Matriz de Obj. Estrat.'!$B17,'Quadro Geral'!$B:$B,"PE")</f>
        <v>0</v>
      </c>
      <c r="G17" s="187">
        <f>COUNTIFS('Quadro Geral'!$D:$D,'Matriz de Obj. Estrat.'!$B17,'Quadro Geral'!$B:$B,"A")</f>
        <v>0</v>
      </c>
      <c r="H17" s="188">
        <f>SUMIFS('Quadro Geral'!$G:$G,'Quadro Geral'!$D:$D,'Matriz de Obj. Estrat.'!$B17,'Quadro Geral'!$B:$B,"A")</f>
        <v>0</v>
      </c>
      <c r="I17" s="187">
        <f t="shared" si="1"/>
        <v>0</v>
      </c>
      <c r="J17" s="188">
        <f t="shared" si="2"/>
        <v>0</v>
      </c>
      <c r="K17" s="189">
        <f t="shared" si="0"/>
        <v>0</v>
      </c>
    </row>
    <row r="18" spans="1:12" ht="30.75" customHeight="1">
      <c r="A18" s="436"/>
      <c r="B18" s="66" t="s">
        <v>27</v>
      </c>
      <c r="C18" s="187">
        <f>COUNTIFS('Quadro Geral'!$D:$D,'Matriz de Obj. Estrat.'!$B18,'Quadro Geral'!$B:$B,"P")</f>
        <v>2</v>
      </c>
      <c r="D18" s="188">
        <f>SUMIFS('Quadro Geral'!$G:$G,'Quadro Geral'!$D:$D,'Matriz de Obj. Estrat.'!$B18,'Quadro Geral'!$B:$B,"P")</f>
        <v>612210.31000000006</v>
      </c>
      <c r="E18" s="187">
        <f>COUNTIFS('Quadro Geral'!$D:$D,'Matriz de Obj. Estrat.'!$B18,'Quadro Geral'!$B:$B,"PE")</f>
        <v>0</v>
      </c>
      <c r="F18" s="188">
        <f>SUMIFS('Quadro Geral'!$G:$G,'Quadro Geral'!$D:$D,'Matriz de Obj. Estrat.'!$B18,'Quadro Geral'!$B:$B,"PE")</f>
        <v>0</v>
      </c>
      <c r="G18" s="187">
        <f>COUNTIFS('Quadro Geral'!$D:$D,'Matriz de Obj. Estrat.'!$B18,'Quadro Geral'!$B:$B,"A")</f>
        <v>0</v>
      </c>
      <c r="H18" s="188">
        <f>SUMIFS('Quadro Geral'!$G:$G,'Quadro Geral'!$D:$D,'Matriz de Obj. Estrat.'!$B18,'Quadro Geral'!$B:$B,"A")</f>
        <v>0</v>
      </c>
      <c r="I18" s="187">
        <f t="shared" si="1"/>
        <v>2</v>
      </c>
      <c r="J18" s="188">
        <f t="shared" si="2"/>
        <v>612210.31000000006</v>
      </c>
      <c r="K18" s="189">
        <f t="shared" si="0"/>
        <v>31.316197192839219</v>
      </c>
    </row>
    <row r="19" spans="1:12" ht="23.4">
      <c r="A19" s="437" t="s">
        <v>3</v>
      </c>
      <c r="B19" s="437"/>
      <c r="C19" s="77">
        <f>SUM(C3:C18)</f>
        <v>4</v>
      </c>
      <c r="D19" s="77">
        <f t="shared" ref="D19:J19" si="3">SUM(D3:D18)</f>
        <v>663006.42000000004</v>
      </c>
      <c r="E19" s="77">
        <f t="shared" si="3"/>
        <v>1</v>
      </c>
      <c r="F19" s="77">
        <f t="shared" si="3"/>
        <v>453.89</v>
      </c>
      <c r="G19" s="77">
        <f t="shared" si="3"/>
        <v>13</v>
      </c>
      <c r="H19" s="77">
        <f t="shared" si="3"/>
        <v>1291471.53</v>
      </c>
      <c r="I19" s="77">
        <f t="shared" si="3"/>
        <v>18</v>
      </c>
      <c r="J19" s="77">
        <f t="shared" si="3"/>
        <v>1954931.84</v>
      </c>
      <c r="K19" s="78">
        <f>SUM(K3:K18)</f>
        <v>100.00000000000003</v>
      </c>
      <c r="L19" s="65"/>
    </row>
    <row r="20" spans="1:12">
      <c r="D20" s="74"/>
      <c r="E20" s="69"/>
      <c r="F20" s="74"/>
      <c r="G20" s="70"/>
      <c r="H20" s="74"/>
      <c r="I20" s="70"/>
      <c r="J20" s="79">
        <f>'Quadro Geral'!G81</f>
        <v>1954931.84</v>
      </c>
    </row>
    <row r="21" spans="1:12">
      <c r="C21" s="71"/>
      <c r="G21" s="71"/>
      <c r="J21" s="79" t="b">
        <f>J20=J19</f>
        <v>1</v>
      </c>
    </row>
    <row r="22" spans="1:12" hidden="1">
      <c r="E22" s="72"/>
    </row>
    <row r="23" spans="1:12" hidden="1">
      <c r="E23" s="72"/>
      <c r="G23" s="71"/>
    </row>
    <row r="24" spans="1:12" hidden="1">
      <c r="E24" s="72"/>
    </row>
    <row r="25" spans="1:12" hidden="1">
      <c r="A25" s="68"/>
      <c r="I25" s="71"/>
    </row>
    <row r="26" spans="1:12" hidden="1">
      <c r="A26" s="68"/>
      <c r="G26" s="72"/>
      <c r="I26" s="71"/>
    </row>
  </sheetData>
  <mergeCells count="11">
    <mergeCell ref="G1:H1"/>
    <mergeCell ref="I1:J1"/>
    <mergeCell ref="K1:K2"/>
    <mergeCell ref="A3:A4"/>
    <mergeCell ref="A5:A15"/>
    <mergeCell ref="A16:A18"/>
    <mergeCell ref="A19:B19"/>
    <mergeCell ref="E1:F1"/>
    <mergeCell ref="A1:A2"/>
    <mergeCell ref="B1:B2"/>
    <mergeCell ref="C1:D1"/>
  </mergeCells>
  <conditionalFormatting sqref="C2:D2 G2:I2">
    <cfRule type="cellIs" dxfId="19" priority="14" operator="equal">
      <formula>"S"</formula>
    </cfRule>
    <cfRule type="cellIs" dxfId="18" priority="15" operator="equal">
      <formula>"P"</formula>
    </cfRule>
    <cfRule type="cellIs" dxfId="17" priority="16" operator="equal">
      <formula>"x"</formula>
    </cfRule>
  </conditionalFormatting>
  <conditionalFormatting sqref="E2:F2">
    <cfRule type="cellIs" dxfId="16" priority="11" operator="equal">
      <formula>"S"</formula>
    </cfRule>
    <cfRule type="cellIs" dxfId="15" priority="12" operator="equal">
      <formula>"P"</formula>
    </cfRule>
    <cfRule type="cellIs" dxfId="14" priority="13" operator="equal">
      <formula>"x"</formula>
    </cfRule>
  </conditionalFormatting>
  <conditionalFormatting sqref="J21">
    <cfRule type="cellIs" dxfId="13" priority="9" operator="equal">
      <formula>TRUE</formula>
    </cfRule>
    <cfRule type="cellIs" dxfId="12" priority="10" operator="equal">
      <formula>FALSE</formula>
    </cfRule>
  </conditionalFormatting>
  <pageMargins left="0.511811024" right="0.511811024" top="0.78740157499999996" bottom="0.78740157499999996" header="0.31496062000000002" footer="0.31496062000000002"/>
  <pageSetup scale="3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'Validação de dados'!$D$1:$D$16</xm:f>
          </x14:formula1>
          <xm:sqref>M3:M5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A742F-7B0D-4088-B6CF-684FE587A839}">
  <sheetPr>
    <tabColor rgb="FFFFFF00"/>
    <outlinePr summaryBelow="0"/>
  </sheetPr>
  <dimension ref="A1:L143"/>
  <sheetViews>
    <sheetView showGridLines="0" topLeftCell="A58" workbookViewId="0"/>
  </sheetViews>
  <sheetFormatPr defaultRowHeight="14.4"/>
  <cols>
    <col min="1" max="1" width="27.33203125" customWidth="1"/>
    <col min="2" max="2" width="20.88671875" customWidth="1"/>
    <col min="3" max="3" width="3.33203125" customWidth="1"/>
    <col min="4" max="4" width="1.109375" customWidth="1"/>
    <col min="5" max="5" width="16.109375" customWidth="1"/>
    <col min="6" max="6" width="17.109375" customWidth="1"/>
    <col min="7" max="7" width="1.6640625" customWidth="1"/>
    <col min="8" max="8" width="11" customWidth="1"/>
    <col min="9" max="9" width="4.5546875" customWidth="1"/>
    <col min="10" max="10" width="17.109375" customWidth="1"/>
    <col min="11" max="12" width="17.33203125" customWidth="1"/>
  </cols>
  <sheetData>
    <row r="1" spans="1:12" ht="34.5" customHeight="1"/>
    <row r="2" spans="1:12" ht="23.25" customHeight="1">
      <c r="A2" s="464" t="s">
        <v>465</v>
      </c>
      <c r="B2" s="464"/>
      <c r="C2" s="464"/>
      <c r="D2" s="464"/>
      <c r="E2" s="464"/>
      <c r="F2" s="464"/>
      <c r="G2" s="464"/>
      <c r="H2" s="464"/>
      <c r="I2" s="464"/>
      <c r="J2" s="464"/>
    </row>
    <row r="3" spans="1:12" ht="15.75" customHeight="1">
      <c r="A3" s="468" t="s">
        <v>466</v>
      </c>
      <c r="B3" s="468"/>
      <c r="C3" s="468"/>
      <c r="D3" s="468"/>
      <c r="E3" s="468"/>
      <c r="F3" s="468"/>
      <c r="G3" s="468"/>
      <c r="H3" s="468"/>
      <c r="I3" s="468"/>
      <c r="J3" s="468"/>
    </row>
    <row r="4" spans="1:12" ht="0.75" customHeight="1"/>
    <row r="5" spans="1:12" ht="9.75" customHeight="1">
      <c r="A5" s="468" t="s">
        <v>467</v>
      </c>
      <c r="B5" s="468"/>
      <c r="C5" s="468"/>
    </row>
    <row r="6" spans="1:12" ht="6.75" customHeight="1">
      <c r="A6" s="468"/>
      <c r="B6" s="468"/>
      <c r="C6" s="468"/>
    </row>
    <row r="7" spans="1:12" ht="0.75" customHeight="1"/>
    <row r="8" spans="1:12" ht="6" customHeight="1">
      <c r="A8" s="469"/>
      <c r="B8" s="469"/>
      <c r="C8" s="469"/>
      <c r="D8" s="469"/>
      <c r="E8" s="469"/>
      <c r="F8" s="469"/>
      <c r="G8" s="469"/>
      <c r="H8" s="469"/>
      <c r="I8" s="469"/>
      <c r="J8" s="469"/>
      <c r="K8" s="469"/>
      <c r="L8" s="469"/>
    </row>
    <row r="9" spans="1:12" ht="14.25" customHeight="1">
      <c r="K9" s="465" t="s">
        <v>468</v>
      </c>
      <c r="L9" s="465"/>
    </row>
    <row r="10" spans="1:12" ht="19.5" customHeight="1">
      <c r="A10" s="470" t="s">
        <v>469</v>
      </c>
      <c r="B10" s="470"/>
      <c r="C10" s="470"/>
      <c r="D10" s="470"/>
      <c r="E10" s="470"/>
      <c r="F10" s="470"/>
      <c r="G10" s="470"/>
      <c r="H10" s="470"/>
      <c r="I10" s="470"/>
      <c r="J10" s="470"/>
      <c r="K10" s="470"/>
      <c r="L10" s="470"/>
    </row>
    <row r="11" spans="1:12" ht="12.75" customHeight="1">
      <c r="A11" s="462"/>
      <c r="B11" s="462"/>
      <c r="C11" s="462"/>
      <c r="D11" s="462"/>
      <c r="E11" s="462"/>
      <c r="F11" s="462"/>
      <c r="G11" s="462"/>
      <c r="H11" s="462"/>
      <c r="I11" s="462"/>
      <c r="J11" s="462"/>
      <c r="K11" s="462"/>
      <c r="L11" s="462"/>
    </row>
    <row r="12" spans="1:12" ht="1.5" customHeight="1"/>
    <row r="13" spans="1:12" ht="1.5" customHeight="1">
      <c r="A13" s="463"/>
      <c r="B13" s="463"/>
      <c r="C13" s="463"/>
      <c r="D13" s="463"/>
      <c r="E13" s="463"/>
      <c r="F13" s="463"/>
      <c r="G13" s="463"/>
      <c r="H13" s="463"/>
      <c r="I13" s="463"/>
      <c r="J13" s="463"/>
      <c r="K13" s="463"/>
      <c r="L13" s="463"/>
    </row>
    <row r="14" spans="1:12" ht="16.5" customHeight="1">
      <c r="A14" s="464" t="s">
        <v>465</v>
      </c>
      <c r="B14" s="464"/>
      <c r="C14" s="464"/>
      <c r="K14" s="465" t="s">
        <v>468</v>
      </c>
      <c r="L14" s="465"/>
    </row>
    <row r="15" spans="1:12" ht="6.75" customHeight="1">
      <c r="A15" s="464"/>
      <c r="B15" s="464"/>
      <c r="C15" s="464"/>
    </row>
    <row r="16" spans="1:12" ht="6" customHeight="1"/>
    <row r="17" spans="1:12" ht="5.25" customHeight="1">
      <c r="A17" s="466"/>
      <c r="B17" s="466"/>
      <c r="C17" s="466"/>
      <c r="D17" s="466"/>
      <c r="E17" s="466"/>
      <c r="F17" s="466"/>
      <c r="G17" s="466"/>
      <c r="H17" s="466"/>
      <c r="I17" s="466"/>
      <c r="J17" s="466"/>
      <c r="K17" s="466"/>
      <c r="L17" s="466"/>
    </row>
    <row r="18" spans="1:12" ht="3" customHeight="1"/>
    <row r="19" spans="1:12" ht="1.5" customHeight="1">
      <c r="A19" s="467"/>
      <c r="B19" s="467"/>
      <c r="C19" s="467"/>
      <c r="D19" s="467"/>
      <c r="E19" s="467"/>
      <c r="F19" s="467"/>
      <c r="G19" s="467"/>
      <c r="H19" s="467"/>
      <c r="I19" s="467"/>
      <c r="J19" s="467"/>
      <c r="K19" s="467"/>
      <c r="L19" s="467"/>
    </row>
    <row r="20" spans="1:12" ht="25.5" customHeight="1">
      <c r="A20" s="460" t="s">
        <v>470</v>
      </c>
      <c r="B20" s="460"/>
      <c r="C20" s="460"/>
      <c r="D20" s="461" t="s">
        <v>393</v>
      </c>
      <c r="E20" s="461"/>
      <c r="F20" s="267" t="s">
        <v>393</v>
      </c>
      <c r="G20" s="461" t="s">
        <v>471</v>
      </c>
      <c r="H20" s="461"/>
      <c r="I20" s="461"/>
      <c r="J20" s="267" t="s">
        <v>472</v>
      </c>
      <c r="K20" s="267" t="s">
        <v>473</v>
      </c>
      <c r="L20" s="267" t="s">
        <v>474</v>
      </c>
    </row>
    <row r="21" spans="1:12" ht="18" customHeight="1">
      <c r="A21" s="454" t="s">
        <v>475</v>
      </c>
      <c r="B21" s="454"/>
      <c r="C21" s="454"/>
      <c r="D21" s="455"/>
      <c r="E21" s="455"/>
      <c r="F21" s="268"/>
      <c r="G21" s="456">
        <v>1380812.46</v>
      </c>
      <c r="H21" s="456"/>
      <c r="I21" s="456"/>
      <c r="J21" s="269">
        <v>1457769.83</v>
      </c>
      <c r="K21" s="269">
        <v>1645019.18</v>
      </c>
      <c r="L21" s="268">
        <v>187249.35</v>
      </c>
    </row>
    <row r="22" spans="1:12" ht="18" customHeight="1">
      <c r="A22" s="457" t="s">
        <v>476</v>
      </c>
      <c r="B22" s="457"/>
      <c r="C22" s="457"/>
      <c r="D22" s="458"/>
      <c r="E22" s="458"/>
      <c r="F22" s="270"/>
      <c r="G22" s="459">
        <v>553426.72</v>
      </c>
      <c r="H22" s="459"/>
      <c r="I22" s="459"/>
      <c r="J22" s="271">
        <v>554875.63</v>
      </c>
      <c r="K22" s="271">
        <v>552343.98</v>
      </c>
      <c r="L22" s="270">
        <v>-2531.65</v>
      </c>
    </row>
    <row r="23" spans="1:12" ht="18" customHeight="1">
      <c r="A23" s="454" t="s">
        <v>477</v>
      </c>
      <c r="B23" s="454"/>
      <c r="C23" s="454"/>
      <c r="D23" s="455"/>
      <c r="E23" s="455"/>
      <c r="F23" s="268"/>
      <c r="G23" s="456">
        <v>553426.72</v>
      </c>
      <c r="H23" s="456"/>
      <c r="I23" s="456"/>
      <c r="J23" s="269">
        <v>554875.63</v>
      </c>
      <c r="K23" s="269">
        <v>552343.98</v>
      </c>
      <c r="L23" s="268">
        <v>-2531.65</v>
      </c>
    </row>
    <row r="24" spans="1:12" ht="18" customHeight="1">
      <c r="A24" s="457" t="s">
        <v>478</v>
      </c>
      <c r="B24" s="457"/>
      <c r="C24" s="457"/>
      <c r="D24" s="458"/>
      <c r="E24" s="458"/>
      <c r="F24" s="270"/>
      <c r="G24" s="459">
        <v>553426.72</v>
      </c>
      <c r="H24" s="459"/>
      <c r="I24" s="459"/>
      <c r="J24" s="271">
        <v>554875.63</v>
      </c>
      <c r="K24" s="271">
        <v>552343.98</v>
      </c>
      <c r="L24" s="270">
        <v>-2531.65</v>
      </c>
    </row>
    <row r="25" spans="1:12" ht="18" customHeight="1">
      <c r="A25" s="454" t="s">
        <v>536</v>
      </c>
      <c r="B25" s="454"/>
      <c r="C25" s="454"/>
      <c r="D25" s="455"/>
      <c r="E25" s="455"/>
      <c r="F25" s="268"/>
      <c r="G25" s="456">
        <v>435012.93</v>
      </c>
      <c r="H25" s="456"/>
      <c r="I25" s="456"/>
      <c r="J25" s="269">
        <v>437802.01</v>
      </c>
      <c r="K25" s="269">
        <v>414714.22</v>
      </c>
      <c r="L25" s="268">
        <v>-23087.79</v>
      </c>
    </row>
    <row r="26" spans="1:12" ht="18" customHeight="1">
      <c r="A26" s="457" t="s">
        <v>537</v>
      </c>
      <c r="B26" s="457"/>
      <c r="C26" s="457"/>
      <c r="D26" s="458"/>
      <c r="E26" s="458"/>
      <c r="F26" s="270"/>
      <c r="G26" s="459">
        <v>67014.960000000006</v>
      </c>
      <c r="H26" s="459"/>
      <c r="I26" s="459"/>
      <c r="J26" s="271">
        <v>73005.62</v>
      </c>
      <c r="K26" s="271">
        <v>101799.7</v>
      </c>
      <c r="L26" s="270">
        <v>28794.080000000002</v>
      </c>
    </row>
    <row r="27" spans="1:12" ht="18" customHeight="1">
      <c r="A27" s="454" t="s">
        <v>538</v>
      </c>
      <c r="B27" s="454"/>
      <c r="C27" s="454"/>
      <c r="D27" s="455"/>
      <c r="E27" s="455"/>
      <c r="F27" s="268"/>
      <c r="G27" s="456">
        <v>38758.58</v>
      </c>
      <c r="H27" s="456"/>
      <c r="I27" s="456"/>
      <c r="J27" s="269">
        <v>28552.21</v>
      </c>
      <c r="K27" s="269">
        <v>21155.439999999999</v>
      </c>
      <c r="L27" s="268">
        <v>-7396.77</v>
      </c>
    </row>
    <row r="28" spans="1:12" ht="18" customHeight="1">
      <c r="A28" s="457" t="s">
        <v>539</v>
      </c>
      <c r="B28" s="457"/>
      <c r="C28" s="457"/>
      <c r="D28" s="458"/>
      <c r="E28" s="458"/>
      <c r="F28" s="270"/>
      <c r="G28" s="459">
        <v>12640.25</v>
      </c>
      <c r="H28" s="459"/>
      <c r="I28" s="459"/>
      <c r="J28" s="271">
        <v>15515.79</v>
      </c>
      <c r="K28" s="271">
        <v>14674.62</v>
      </c>
      <c r="L28" s="270">
        <v>-841.17</v>
      </c>
    </row>
    <row r="29" spans="1:12" ht="18" customHeight="1">
      <c r="A29" s="454" t="s">
        <v>479</v>
      </c>
      <c r="B29" s="454"/>
      <c r="C29" s="454"/>
      <c r="D29" s="455"/>
      <c r="E29" s="455"/>
      <c r="F29" s="268"/>
      <c r="G29" s="456">
        <v>585134.67000000004</v>
      </c>
      <c r="H29" s="456"/>
      <c r="I29" s="456"/>
      <c r="J29" s="269">
        <v>648401.06000000006</v>
      </c>
      <c r="K29" s="269">
        <v>772638.63</v>
      </c>
      <c r="L29" s="268">
        <v>124237.57</v>
      </c>
    </row>
    <row r="30" spans="1:12" ht="18" customHeight="1">
      <c r="A30" s="457" t="s">
        <v>480</v>
      </c>
      <c r="B30" s="457"/>
      <c r="C30" s="457"/>
      <c r="D30" s="458"/>
      <c r="E30" s="458"/>
      <c r="F30" s="270"/>
      <c r="G30" s="459">
        <v>0</v>
      </c>
      <c r="H30" s="459"/>
      <c r="I30" s="459"/>
      <c r="J30" s="271">
        <v>0</v>
      </c>
      <c r="K30" s="271">
        <v>3188.3</v>
      </c>
      <c r="L30" s="270">
        <v>3188.3</v>
      </c>
    </row>
    <row r="31" spans="1:12" ht="18" customHeight="1">
      <c r="A31" s="454" t="s">
        <v>540</v>
      </c>
      <c r="B31" s="454"/>
      <c r="C31" s="454"/>
      <c r="D31" s="455"/>
      <c r="E31" s="455"/>
      <c r="F31" s="268"/>
      <c r="G31" s="456">
        <v>0</v>
      </c>
      <c r="H31" s="456"/>
      <c r="I31" s="456"/>
      <c r="J31" s="269">
        <v>0</v>
      </c>
      <c r="K31" s="269">
        <v>3188.3</v>
      </c>
      <c r="L31" s="268">
        <v>3188.3</v>
      </c>
    </row>
    <row r="32" spans="1:12" ht="21" customHeight="1">
      <c r="A32" s="457" t="s">
        <v>481</v>
      </c>
      <c r="B32" s="457"/>
      <c r="C32" s="457"/>
      <c r="D32" s="458"/>
      <c r="E32" s="458"/>
      <c r="F32" s="270"/>
      <c r="G32" s="459">
        <v>585134.67000000004</v>
      </c>
      <c r="H32" s="459"/>
      <c r="I32" s="459"/>
      <c r="J32" s="271">
        <v>648401.06000000006</v>
      </c>
      <c r="K32" s="271">
        <v>769450.33</v>
      </c>
      <c r="L32" s="270">
        <v>121049.27</v>
      </c>
    </row>
    <row r="33" spans="1:12" ht="18" customHeight="1">
      <c r="A33" s="454" t="s">
        <v>542</v>
      </c>
      <c r="B33" s="454"/>
      <c r="C33" s="454"/>
      <c r="D33" s="455"/>
      <c r="E33" s="455"/>
      <c r="F33" s="268"/>
      <c r="G33" s="456">
        <v>0</v>
      </c>
      <c r="H33" s="456"/>
      <c r="I33" s="456"/>
      <c r="J33" s="269">
        <v>0</v>
      </c>
      <c r="K33" s="269">
        <v>70865.89</v>
      </c>
      <c r="L33" s="268">
        <v>70865.89</v>
      </c>
    </row>
    <row r="34" spans="1:12" ht="18" customHeight="1">
      <c r="A34" s="457" t="s">
        <v>543</v>
      </c>
      <c r="B34" s="457"/>
      <c r="C34" s="457"/>
      <c r="D34" s="458"/>
      <c r="E34" s="458"/>
      <c r="F34" s="270"/>
      <c r="G34" s="459">
        <v>585134.67000000004</v>
      </c>
      <c r="H34" s="459"/>
      <c r="I34" s="459"/>
      <c r="J34" s="271">
        <v>648401.06000000006</v>
      </c>
      <c r="K34" s="271">
        <v>698584.44</v>
      </c>
      <c r="L34" s="270">
        <v>50183.38</v>
      </c>
    </row>
    <row r="35" spans="1:12" ht="18" customHeight="1">
      <c r="A35" s="454" t="s">
        <v>482</v>
      </c>
      <c r="B35" s="454"/>
      <c r="C35" s="454"/>
      <c r="D35" s="455"/>
      <c r="E35" s="455"/>
      <c r="F35" s="268"/>
      <c r="G35" s="456">
        <v>64948.9</v>
      </c>
      <c r="H35" s="456"/>
      <c r="I35" s="456"/>
      <c r="J35" s="269">
        <v>99526.63</v>
      </c>
      <c r="K35" s="269">
        <v>201106.37</v>
      </c>
      <c r="L35" s="268">
        <v>101579.74</v>
      </c>
    </row>
    <row r="36" spans="1:12" ht="18" customHeight="1">
      <c r="A36" s="457" t="s">
        <v>483</v>
      </c>
      <c r="B36" s="457"/>
      <c r="C36" s="457"/>
      <c r="D36" s="458"/>
      <c r="E36" s="458"/>
      <c r="F36" s="270"/>
      <c r="G36" s="459">
        <v>0</v>
      </c>
      <c r="H36" s="459"/>
      <c r="I36" s="459"/>
      <c r="J36" s="271">
        <v>0</v>
      </c>
      <c r="K36" s="271">
        <v>31722.080000000002</v>
      </c>
      <c r="L36" s="270">
        <v>31722.080000000002</v>
      </c>
    </row>
    <row r="37" spans="1:12" ht="18" customHeight="1">
      <c r="A37" s="454" t="s">
        <v>544</v>
      </c>
      <c r="B37" s="454"/>
      <c r="C37" s="454"/>
      <c r="D37" s="455"/>
      <c r="E37" s="455"/>
      <c r="F37" s="268"/>
      <c r="G37" s="456">
        <v>0</v>
      </c>
      <c r="H37" s="456"/>
      <c r="I37" s="456"/>
      <c r="J37" s="269">
        <v>0</v>
      </c>
      <c r="K37" s="269">
        <v>31722.080000000002</v>
      </c>
      <c r="L37" s="268">
        <v>31722.080000000002</v>
      </c>
    </row>
    <row r="38" spans="1:12" ht="18" customHeight="1">
      <c r="A38" s="457" t="s">
        <v>484</v>
      </c>
      <c r="B38" s="457"/>
      <c r="C38" s="457"/>
      <c r="D38" s="458"/>
      <c r="E38" s="458"/>
      <c r="F38" s="270"/>
      <c r="G38" s="459">
        <v>64948.9</v>
      </c>
      <c r="H38" s="459"/>
      <c r="I38" s="459"/>
      <c r="J38" s="271">
        <v>99526.63</v>
      </c>
      <c r="K38" s="271">
        <v>169384.29</v>
      </c>
      <c r="L38" s="270">
        <v>69857.66</v>
      </c>
    </row>
    <row r="39" spans="1:12" ht="18" customHeight="1">
      <c r="A39" s="454" t="s">
        <v>485</v>
      </c>
      <c r="B39" s="454"/>
      <c r="C39" s="454"/>
      <c r="D39" s="455"/>
      <c r="E39" s="455"/>
      <c r="F39" s="268"/>
      <c r="G39" s="456">
        <v>0</v>
      </c>
      <c r="H39" s="456"/>
      <c r="I39" s="456"/>
      <c r="J39" s="269">
        <v>0</v>
      </c>
      <c r="K39" s="269">
        <v>148.83000000000001</v>
      </c>
      <c r="L39" s="268">
        <v>148.83000000000001</v>
      </c>
    </row>
    <row r="40" spans="1:12" ht="18" customHeight="1">
      <c r="A40" s="457" t="s">
        <v>544</v>
      </c>
      <c r="B40" s="457"/>
      <c r="C40" s="457"/>
      <c r="D40" s="458"/>
      <c r="E40" s="458"/>
      <c r="F40" s="270"/>
      <c r="G40" s="459">
        <v>0</v>
      </c>
      <c r="H40" s="459"/>
      <c r="I40" s="459"/>
      <c r="J40" s="271">
        <v>0</v>
      </c>
      <c r="K40" s="271">
        <v>148.83000000000001</v>
      </c>
      <c r="L40" s="270">
        <v>148.83000000000001</v>
      </c>
    </row>
    <row r="41" spans="1:12" ht="18" customHeight="1">
      <c r="A41" s="454" t="s">
        <v>486</v>
      </c>
      <c r="B41" s="454"/>
      <c r="C41" s="454"/>
      <c r="D41" s="455"/>
      <c r="E41" s="455"/>
      <c r="F41" s="268"/>
      <c r="G41" s="456">
        <v>49948.9</v>
      </c>
      <c r="H41" s="456"/>
      <c r="I41" s="456"/>
      <c r="J41" s="269">
        <v>47526.63</v>
      </c>
      <c r="K41" s="269">
        <v>37938.269999999997</v>
      </c>
      <c r="L41" s="268">
        <v>-9588.36</v>
      </c>
    </row>
    <row r="42" spans="1:12" ht="18" customHeight="1">
      <c r="A42" s="457" t="s">
        <v>544</v>
      </c>
      <c r="B42" s="457"/>
      <c r="C42" s="457"/>
      <c r="D42" s="458"/>
      <c r="E42" s="458"/>
      <c r="F42" s="270"/>
      <c r="G42" s="459">
        <v>49948.9</v>
      </c>
      <c r="H42" s="459"/>
      <c r="I42" s="459"/>
      <c r="J42" s="271">
        <v>47526.63</v>
      </c>
      <c r="K42" s="271">
        <v>36931.949999999997</v>
      </c>
      <c r="L42" s="270">
        <v>-10594.68</v>
      </c>
    </row>
    <row r="43" spans="1:12" ht="18" customHeight="1">
      <c r="A43" s="454" t="s">
        <v>545</v>
      </c>
      <c r="B43" s="454"/>
      <c r="C43" s="454"/>
      <c r="D43" s="455"/>
      <c r="E43" s="455"/>
      <c r="F43" s="268"/>
      <c r="G43" s="456">
        <v>0</v>
      </c>
      <c r="H43" s="456"/>
      <c r="I43" s="456"/>
      <c r="J43" s="269">
        <v>0</v>
      </c>
      <c r="K43" s="269">
        <v>1006.32</v>
      </c>
      <c r="L43" s="268">
        <v>1006.32</v>
      </c>
    </row>
    <row r="44" spans="1:12" ht="18" customHeight="1">
      <c r="A44" s="457" t="s">
        <v>487</v>
      </c>
      <c r="B44" s="457"/>
      <c r="C44" s="457"/>
      <c r="D44" s="458"/>
      <c r="E44" s="458"/>
      <c r="F44" s="270"/>
      <c r="G44" s="459">
        <v>15000</v>
      </c>
      <c r="H44" s="459"/>
      <c r="I44" s="459"/>
      <c r="J44" s="271">
        <v>52000</v>
      </c>
      <c r="K44" s="271">
        <v>131297.19</v>
      </c>
      <c r="L44" s="270">
        <v>79297.19</v>
      </c>
    </row>
    <row r="45" spans="1:12" ht="18" customHeight="1">
      <c r="A45" s="454" t="s">
        <v>546</v>
      </c>
      <c r="B45" s="454"/>
      <c r="C45" s="454"/>
      <c r="D45" s="455"/>
      <c r="E45" s="455"/>
      <c r="F45" s="268"/>
      <c r="G45" s="456">
        <v>15000</v>
      </c>
      <c r="H45" s="456"/>
      <c r="I45" s="456"/>
      <c r="J45" s="269">
        <v>52000</v>
      </c>
      <c r="K45" s="269">
        <v>131297.19</v>
      </c>
      <c r="L45" s="268">
        <v>79297.19</v>
      </c>
    </row>
    <row r="46" spans="1:12" ht="18" customHeight="1">
      <c r="A46" s="457" t="s">
        <v>488</v>
      </c>
      <c r="B46" s="457"/>
      <c r="C46" s="457"/>
      <c r="D46" s="458"/>
      <c r="E46" s="458"/>
      <c r="F46" s="270"/>
      <c r="G46" s="459">
        <v>172875.39</v>
      </c>
      <c r="H46" s="459"/>
      <c r="I46" s="459"/>
      <c r="J46" s="271">
        <v>150200.19</v>
      </c>
      <c r="K46" s="271">
        <v>111471.03999999999</v>
      </c>
      <c r="L46" s="270">
        <v>-38729.15</v>
      </c>
    </row>
    <row r="47" spans="1:12" ht="18" customHeight="1">
      <c r="A47" s="454" t="s">
        <v>547</v>
      </c>
      <c r="B47" s="454"/>
      <c r="C47" s="454"/>
      <c r="D47" s="455"/>
      <c r="E47" s="455"/>
      <c r="F47" s="268"/>
      <c r="G47" s="456">
        <v>172875.39</v>
      </c>
      <c r="H47" s="456"/>
      <c r="I47" s="456"/>
      <c r="J47" s="269">
        <v>150200.19</v>
      </c>
      <c r="K47" s="269">
        <v>111471.03999999999</v>
      </c>
      <c r="L47" s="268">
        <v>-38729.15</v>
      </c>
    </row>
    <row r="48" spans="1:12" ht="18" customHeight="1">
      <c r="A48" s="457" t="s">
        <v>489</v>
      </c>
      <c r="B48" s="457"/>
      <c r="C48" s="457"/>
      <c r="D48" s="458"/>
      <c r="E48" s="458"/>
      <c r="F48" s="270"/>
      <c r="G48" s="459">
        <v>4426.78</v>
      </c>
      <c r="H48" s="459"/>
      <c r="I48" s="459"/>
      <c r="J48" s="271">
        <v>4766.32</v>
      </c>
      <c r="K48" s="271">
        <v>7459.16</v>
      </c>
      <c r="L48" s="270">
        <v>2692.84</v>
      </c>
    </row>
    <row r="49" spans="1:12" ht="18" customHeight="1">
      <c r="A49" s="454" t="s">
        <v>490</v>
      </c>
      <c r="B49" s="454"/>
      <c r="C49" s="454"/>
      <c r="D49" s="455"/>
      <c r="E49" s="455"/>
      <c r="F49" s="268"/>
      <c r="G49" s="456">
        <v>0</v>
      </c>
      <c r="H49" s="456"/>
      <c r="I49" s="456"/>
      <c r="J49" s="269">
        <v>0</v>
      </c>
      <c r="K49" s="269">
        <v>608.5</v>
      </c>
      <c r="L49" s="268">
        <v>608.5</v>
      </c>
    </row>
    <row r="50" spans="1:12" ht="18" customHeight="1">
      <c r="A50" s="457" t="s">
        <v>544</v>
      </c>
      <c r="B50" s="457"/>
      <c r="C50" s="457"/>
      <c r="D50" s="458"/>
      <c r="E50" s="458"/>
      <c r="F50" s="270"/>
      <c r="G50" s="459">
        <v>0</v>
      </c>
      <c r="H50" s="459"/>
      <c r="I50" s="459"/>
      <c r="J50" s="271">
        <v>0</v>
      </c>
      <c r="K50" s="271">
        <v>608.5</v>
      </c>
      <c r="L50" s="270">
        <v>608.5</v>
      </c>
    </row>
    <row r="51" spans="1:12" ht="18" customHeight="1">
      <c r="A51" s="454" t="s">
        <v>491</v>
      </c>
      <c r="B51" s="454"/>
      <c r="C51" s="454"/>
      <c r="D51" s="455"/>
      <c r="E51" s="455"/>
      <c r="F51" s="268"/>
      <c r="G51" s="456">
        <v>4426.78</v>
      </c>
      <c r="H51" s="456"/>
      <c r="I51" s="456"/>
      <c r="J51" s="269">
        <v>4766.32</v>
      </c>
      <c r="K51" s="269">
        <v>6850.66</v>
      </c>
      <c r="L51" s="268">
        <v>2084.34</v>
      </c>
    </row>
    <row r="52" spans="1:12" ht="18" customHeight="1">
      <c r="A52" s="457" t="s">
        <v>548</v>
      </c>
      <c r="B52" s="457"/>
      <c r="C52" s="457"/>
      <c r="D52" s="458"/>
      <c r="E52" s="458"/>
      <c r="F52" s="270"/>
      <c r="G52" s="459">
        <v>0</v>
      </c>
      <c r="H52" s="459"/>
      <c r="I52" s="459"/>
      <c r="J52" s="271">
        <v>0</v>
      </c>
      <c r="K52" s="271">
        <v>2753.6</v>
      </c>
      <c r="L52" s="270">
        <v>2753.6</v>
      </c>
    </row>
    <row r="53" spans="1:12" ht="18" customHeight="1">
      <c r="A53" s="454" t="s">
        <v>549</v>
      </c>
      <c r="B53" s="454"/>
      <c r="C53" s="454"/>
      <c r="D53" s="455"/>
      <c r="E53" s="455"/>
      <c r="F53" s="268"/>
      <c r="G53" s="456">
        <v>4426.78</v>
      </c>
      <c r="H53" s="456"/>
      <c r="I53" s="456"/>
      <c r="J53" s="269">
        <v>4766.32</v>
      </c>
      <c r="K53" s="269">
        <v>4097.0600000000004</v>
      </c>
      <c r="L53" s="268">
        <v>-669.26</v>
      </c>
    </row>
    <row r="54" spans="1:12" ht="18" customHeight="1">
      <c r="A54" s="457" t="s">
        <v>492</v>
      </c>
      <c r="B54" s="457"/>
      <c r="C54" s="457"/>
      <c r="D54" s="458"/>
      <c r="E54" s="458"/>
      <c r="F54" s="270"/>
      <c r="G54" s="459">
        <v>162900</v>
      </c>
      <c r="H54" s="459"/>
      <c r="I54" s="459"/>
      <c r="J54" s="271">
        <v>889500</v>
      </c>
      <c r="K54" s="271">
        <v>0</v>
      </c>
      <c r="L54" s="270">
        <v>-889500</v>
      </c>
    </row>
    <row r="55" spans="1:12" ht="18" customHeight="1">
      <c r="A55" s="454" t="s">
        <v>493</v>
      </c>
      <c r="B55" s="454"/>
      <c r="C55" s="454"/>
      <c r="D55" s="455"/>
      <c r="E55" s="455"/>
      <c r="F55" s="268"/>
      <c r="G55" s="456">
        <v>162900</v>
      </c>
      <c r="H55" s="456"/>
      <c r="I55" s="456"/>
      <c r="J55" s="269">
        <v>889500</v>
      </c>
      <c r="K55" s="269">
        <v>0</v>
      </c>
      <c r="L55" s="268">
        <v>-889500</v>
      </c>
    </row>
    <row r="56" spans="1:12" ht="18" customHeight="1">
      <c r="A56" s="457" t="s">
        <v>494</v>
      </c>
      <c r="B56" s="457"/>
      <c r="C56" s="457"/>
      <c r="D56" s="458"/>
      <c r="E56" s="458"/>
      <c r="F56" s="270"/>
      <c r="G56" s="459">
        <v>162900</v>
      </c>
      <c r="H56" s="459"/>
      <c r="I56" s="459"/>
      <c r="J56" s="271">
        <v>889500</v>
      </c>
      <c r="K56" s="271">
        <v>0</v>
      </c>
      <c r="L56" s="270">
        <v>-889500</v>
      </c>
    </row>
    <row r="57" spans="1:12" ht="21.75" customHeight="1">
      <c r="A57" s="454" t="s">
        <v>550</v>
      </c>
      <c r="B57" s="454"/>
      <c r="C57" s="454"/>
      <c r="D57" s="455"/>
      <c r="E57" s="455"/>
      <c r="F57" s="268"/>
      <c r="G57" s="456">
        <v>162900</v>
      </c>
      <c r="H57" s="456"/>
      <c r="I57" s="456"/>
      <c r="J57" s="269">
        <v>889500</v>
      </c>
      <c r="K57" s="269">
        <v>0</v>
      </c>
      <c r="L57" s="268">
        <v>-889500</v>
      </c>
    </row>
    <row r="58" spans="1:12" ht="18" customHeight="1">
      <c r="A58" s="457" t="s">
        <v>495</v>
      </c>
      <c r="B58" s="457"/>
      <c r="C58" s="457"/>
      <c r="D58" s="458"/>
      <c r="E58" s="458"/>
      <c r="F58" s="270"/>
      <c r="G58" s="459">
        <v>0</v>
      </c>
      <c r="H58" s="459"/>
      <c r="I58" s="459"/>
      <c r="J58" s="271">
        <v>0</v>
      </c>
      <c r="K58" s="271">
        <v>0</v>
      </c>
      <c r="L58" s="270">
        <v>0</v>
      </c>
    </row>
    <row r="59" spans="1:12" ht="18" customHeight="1">
      <c r="A59" s="445" t="s">
        <v>496</v>
      </c>
      <c r="B59" s="445"/>
      <c r="C59" s="445"/>
      <c r="D59" s="446"/>
      <c r="E59" s="446"/>
      <c r="F59" s="274"/>
      <c r="G59" s="447">
        <v>1543712.46</v>
      </c>
      <c r="H59" s="447"/>
      <c r="I59" s="447"/>
      <c r="J59" s="275">
        <v>2347269.83</v>
      </c>
      <c r="K59" s="275">
        <v>1645019.18</v>
      </c>
      <c r="L59" s="274">
        <v>-702250.65</v>
      </c>
    </row>
    <row r="60" spans="1:12" ht="18" customHeight="1">
      <c r="A60" s="451" t="s">
        <v>497</v>
      </c>
      <c r="B60" s="451"/>
      <c r="C60" s="451"/>
      <c r="D60" s="452"/>
      <c r="E60" s="452"/>
      <c r="F60" s="272"/>
      <c r="G60" s="453">
        <v>0</v>
      </c>
      <c r="H60" s="453"/>
      <c r="I60" s="453"/>
      <c r="J60" s="273">
        <v>0</v>
      </c>
      <c r="K60" s="273">
        <v>500220.19</v>
      </c>
      <c r="L60" s="272">
        <v>500220.19</v>
      </c>
    </row>
    <row r="61" spans="1:12" ht="18" customHeight="1">
      <c r="A61" s="445" t="s">
        <v>3</v>
      </c>
      <c r="B61" s="445"/>
      <c r="C61" s="445"/>
      <c r="D61" s="446"/>
      <c r="E61" s="446"/>
      <c r="F61" s="274"/>
      <c r="G61" s="447">
        <v>1543712.46</v>
      </c>
      <c r="H61" s="447"/>
      <c r="I61" s="447"/>
      <c r="J61" s="275">
        <v>2347269.83</v>
      </c>
      <c r="K61" s="275">
        <v>2145239.37</v>
      </c>
      <c r="L61" s="274">
        <v>-202030.46</v>
      </c>
    </row>
    <row r="62" spans="1:12" ht="24.75" customHeight="1">
      <c r="A62" s="460" t="s">
        <v>498</v>
      </c>
      <c r="B62" s="460"/>
      <c r="C62" s="460"/>
      <c r="D62" s="461" t="s">
        <v>499</v>
      </c>
      <c r="E62" s="461"/>
      <c r="F62" s="267" t="s">
        <v>500</v>
      </c>
      <c r="G62" s="461" t="s">
        <v>501</v>
      </c>
      <c r="H62" s="461"/>
      <c r="I62" s="461"/>
      <c r="J62" s="267" t="s">
        <v>502</v>
      </c>
      <c r="K62" s="267" t="s">
        <v>503</v>
      </c>
      <c r="L62" s="267" t="s">
        <v>504</v>
      </c>
    </row>
    <row r="63" spans="1:12" ht="18" customHeight="1">
      <c r="A63" s="457" t="s">
        <v>505</v>
      </c>
      <c r="B63" s="457"/>
      <c r="C63" s="457"/>
      <c r="D63" s="458">
        <v>1543712.46</v>
      </c>
      <c r="E63" s="458"/>
      <c r="F63" s="270">
        <v>1741044.52</v>
      </c>
      <c r="G63" s="459">
        <v>1539014.06</v>
      </c>
      <c r="H63" s="459"/>
      <c r="I63" s="459"/>
      <c r="J63" s="271">
        <v>1348706.53</v>
      </c>
      <c r="K63" s="271">
        <v>1323912.27</v>
      </c>
      <c r="L63" s="270">
        <v>202030.46</v>
      </c>
    </row>
    <row r="64" spans="1:12" ht="18" customHeight="1">
      <c r="A64" s="454" t="s">
        <v>506</v>
      </c>
      <c r="B64" s="454"/>
      <c r="C64" s="454"/>
      <c r="D64" s="455">
        <v>737707.18</v>
      </c>
      <c r="E64" s="455"/>
      <c r="F64" s="268">
        <v>726657.19</v>
      </c>
      <c r="G64" s="456">
        <v>725623.3</v>
      </c>
      <c r="H64" s="456"/>
      <c r="I64" s="456"/>
      <c r="J64" s="269">
        <v>725623.3</v>
      </c>
      <c r="K64" s="269">
        <v>711072.58</v>
      </c>
      <c r="L64" s="268">
        <v>1033.8900000000001</v>
      </c>
    </row>
    <row r="65" spans="1:12" ht="18" customHeight="1">
      <c r="A65" s="457" t="s">
        <v>507</v>
      </c>
      <c r="B65" s="457"/>
      <c r="C65" s="457"/>
      <c r="D65" s="458">
        <v>720907.18</v>
      </c>
      <c r="E65" s="458"/>
      <c r="F65" s="270">
        <v>724457.19</v>
      </c>
      <c r="G65" s="459">
        <v>723423.3</v>
      </c>
      <c r="H65" s="459"/>
      <c r="I65" s="459"/>
      <c r="J65" s="271">
        <v>723423.3</v>
      </c>
      <c r="K65" s="271">
        <v>708872.58</v>
      </c>
      <c r="L65" s="270">
        <v>1033.8900000000001</v>
      </c>
    </row>
    <row r="66" spans="1:12" ht="18" customHeight="1">
      <c r="A66" s="454" t="s">
        <v>579</v>
      </c>
      <c r="B66" s="454"/>
      <c r="C66" s="454"/>
      <c r="D66" s="455">
        <v>527137.81999999995</v>
      </c>
      <c r="E66" s="455"/>
      <c r="F66" s="268">
        <v>525785.35</v>
      </c>
      <c r="G66" s="456">
        <v>525741.94999999995</v>
      </c>
      <c r="H66" s="456"/>
      <c r="I66" s="456"/>
      <c r="J66" s="269">
        <v>525741.94999999995</v>
      </c>
      <c r="K66" s="269">
        <v>525480.93000000005</v>
      </c>
      <c r="L66" s="268">
        <v>43.4</v>
      </c>
    </row>
    <row r="67" spans="1:12" ht="18" customHeight="1">
      <c r="A67" s="457" t="s">
        <v>580</v>
      </c>
      <c r="B67" s="457"/>
      <c r="C67" s="457"/>
      <c r="D67" s="458">
        <v>410028.69</v>
      </c>
      <c r="E67" s="458"/>
      <c r="F67" s="270">
        <v>408788.03</v>
      </c>
      <c r="G67" s="459">
        <v>408788.03</v>
      </c>
      <c r="H67" s="459"/>
      <c r="I67" s="459"/>
      <c r="J67" s="271">
        <v>408788.03</v>
      </c>
      <c r="K67" s="271">
        <v>408527.01</v>
      </c>
      <c r="L67" s="270">
        <v>0</v>
      </c>
    </row>
    <row r="68" spans="1:12" ht="18" customHeight="1">
      <c r="A68" s="454" t="s">
        <v>581</v>
      </c>
      <c r="B68" s="454"/>
      <c r="C68" s="454"/>
      <c r="D68" s="455">
        <v>71684</v>
      </c>
      <c r="E68" s="455"/>
      <c r="F68" s="268">
        <v>58140</v>
      </c>
      <c r="G68" s="456">
        <v>58140</v>
      </c>
      <c r="H68" s="456"/>
      <c r="I68" s="456"/>
      <c r="J68" s="269">
        <v>58140</v>
      </c>
      <c r="K68" s="269">
        <v>58140</v>
      </c>
      <c r="L68" s="268">
        <v>0</v>
      </c>
    </row>
    <row r="69" spans="1:12" ht="18" customHeight="1">
      <c r="A69" s="457" t="s">
        <v>582</v>
      </c>
      <c r="B69" s="457"/>
      <c r="C69" s="457"/>
      <c r="D69" s="458">
        <v>32193</v>
      </c>
      <c r="E69" s="458"/>
      <c r="F69" s="270">
        <v>43484.29</v>
      </c>
      <c r="G69" s="459">
        <v>43484.29</v>
      </c>
      <c r="H69" s="459"/>
      <c r="I69" s="459"/>
      <c r="J69" s="271">
        <v>43484.29</v>
      </c>
      <c r="K69" s="271">
        <v>43484.29</v>
      </c>
      <c r="L69" s="270">
        <v>0</v>
      </c>
    </row>
    <row r="70" spans="1:12" ht="18" customHeight="1">
      <c r="A70" s="454" t="s">
        <v>583</v>
      </c>
      <c r="B70" s="454"/>
      <c r="C70" s="454"/>
      <c r="D70" s="455">
        <v>13232.13</v>
      </c>
      <c r="E70" s="455"/>
      <c r="F70" s="268">
        <v>15373.03</v>
      </c>
      <c r="G70" s="456">
        <v>15329.63</v>
      </c>
      <c r="H70" s="456"/>
      <c r="I70" s="456"/>
      <c r="J70" s="269">
        <v>15329.63</v>
      </c>
      <c r="K70" s="269">
        <v>15329.63</v>
      </c>
      <c r="L70" s="268">
        <v>43.4</v>
      </c>
    </row>
    <row r="71" spans="1:12" ht="18" customHeight="1">
      <c r="A71" s="457" t="s">
        <v>584</v>
      </c>
      <c r="B71" s="457"/>
      <c r="C71" s="457"/>
      <c r="D71" s="458">
        <v>152249.35999999999</v>
      </c>
      <c r="E71" s="458"/>
      <c r="F71" s="270">
        <v>159687.57999999999</v>
      </c>
      <c r="G71" s="459">
        <v>158991.92000000001</v>
      </c>
      <c r="H71" s="459"/>
      <c r="I71" s="459"/>
      <c r="J71" s="271">
        <v>158991.92000000001</v>
      </c>
      <c r="K71" s="271">
        <v>144702.22</v>
      </c>
      <c r="L71" s="270">
        <v>695.66</v>
      </c>
    </row>
    <row r="72" spans="1:12" ht="18" customHeight="1">
      <c r="A72" s="454" t="s">
        <v>585</v>
      </c>
      <c r="B72" s="454"/>
      <c r="C72" s="454"/>
      <c r="D72" s="455">
        <v>106195.62</v>
      </c>
      <c r="E72" s="455"/>
      <c r="F72" s="268">
        <v>113489.44</v>
      </c>
      <c r="G72" s="456">
        <v>112793.78</v>
      </c>
      <c r="H72" s="456"/>
      <c r="I72" s="456"/>
      <c r="J72" s="269">
        <v>112793.78</v>
      </c>
      <c r="K72" s="269">
        <v>103940.75</v>
      </c>
      <c r="L72" s="268">
        <v>695.66</v>
      </c>
    </row>
    <row r="73" spans="1:12" ht="18" customHeight="1">
      <c r="A73" s="457" t="s">
        <v>586</v>
      </c>
      <c r="B73" s="457"/>
      <c r="C73" s="457"/>
      <c r="D73" s="458">
        <v>40455.480000000003</v>
      </c>
      <c r="E73" s="458"/>
      <c r="F73" s="270">
        <v>41065.019999999997</v>
      </c>
      <c r="G73" s="459">
        <v>41065.019999999997</v>
      </c>
      <c r="H73" s="459"/>
      <c r="I73" s="459"/>
      <c r="J73" s="271">
        <v>41065.019999999997</v>
      </c>
      <c r="K73" s="271">
        <v>36399.54</v>
      </c>
      <c r="L73" s="270">
        <v>0</v>
      </c>
    </row>
    <row r="74" spans="1:12" ht="18" customHeight="1">
      <c r="A74" s="454" t="s">
        <v>587</v>
      </c>
      <c r="B74" s="454"/>
      <c r="C74" s="454"/>
      <c r="D74" s="455">
        <v>5598.26</v>
      </c>
      <c r="E74" s="455"/>
      <c r="F74" s="268">
        <v>5133.12</v>
      </c>
      <c r="G74" s="456">
        <v>5133.12</v>
      </c>
      <c r="H74" s="456"/>
      <c r="I74" s="456"/>
      <c r="J74" s="269">
        <v>5133.12</v>
      </c>
      <c r="K74" s="269">
        <v>4361.93</v>
      </c>
      <c r="L74" s="268">
        <v>0</v>
      </c>
    </row>
    <row r="75" spans="1:12" ht="18" customHeight="1">
      <c r="A75" s="457" t="s">
        <v>588</v>
      </c>
      <c r="B75" s="457"/>
      <c r="C75" s="457"/>
      <c r="D75" s="458">
        <v>41520</v>
      </c>
      <c r="E75" s="458"/>
      <c r="F75" s="270">
        <v>38984.26</v>
      </c>
      <c r="G75" s="459">
        <v>38689.43</v>
      </c>
      <c r="H75" s="459"/>
      <c r="I75" s="459"/>
      <c r="J75" s="271">
        <v>38689.43</v>
      </c>
      <c r="K75" s="271">
        <v>38689.43</v>
      </c>
      <c r="L75" s="270">
        <v>294.83</v>
      </c>
    </row>
    <row r="76" spans="1:12" ht="18" customHeight="1">
      <c r="A76" s="454" t="s">
        <v>589</v>
      </c>
      <c r="B76" s="454"/>
      <c r="C76" s="454"/>
      <c r="D76" s="455">
        <v>3400</v>
      </c>
      <c r="E76" s="455"/>
      <c r="F76" s="268">
        <v>1889.39</v>
      </c>
      <c r="G76" s="456">
        <v>1595.01</v>
      </c>
      <c r="H76" s="456"/>
      <c r="I76" s="456"/>
      <c r="J76" s="269">
        <v>1595.01</v>
      </c>
      <c r="K76" s="269">
        <v>1595.01</v>
      </c>
      <c r="L76" s="268">
        <v>294.38</v>
      </c>
    </row>
    <row r="77" spans="1:12" ht="18" customHeight="1">
      <c r="A77" s="457" t="s">
        <v>590</v>
      </c>
      <c r="B77" s="457"/>
      <c r="C77" s="457"/>
      <c r="D77" s="458">
        <v>38120</v>
      </c>
      <c r="E77" s="458"/>
      <c r="F77" s="270">
        <v>37094.870000000003</v>
      </c>
      <c r="G77" s="459">
        <v>37094.42</v>
      </c>
      <c r="H77" s="459"/>
      <c r="I77" s="459"/>
      <c r="J77" s="271">
        <v>37094.42</v>
      </c>
      <c r="K77" s="271">
        <v>37094.42</v>
      </c>
      <c r="L77" s="270">
        <v>0.45</v>
      </c>
    </row>
    <row r="78" spans="1:12" ht="18" customHeight="1">
      <c r="A78" s="454" t="s">
        <v>508</v>
      </c>
      <c r="B78" s="454"/>
      <c r="C78" s="454"/>
      <c r="D78" s="455">
        <v>16800</v>
      </c>
      <c r="E78" s="455"/>
      <c r="F78" s="268">
        <v>2200</v>
      </c>
      <c r="G78" s="456">
        <v>2200</v>
      </c>
      <c r="H78" s="456"/>
      <c r="I78" s="456"/>
      <c r="J78" s="269">
        <v>2200</v>
      </c>
      <c r="K78" s="269">
        <v>2200</v>
      </c>
      <c r="L78" s="268">
        <v>0</v>
      </c>
    </row>
    <row r="79" spans="1:12" ht="18" customHeight="1">
      <c r="A79" s="457" t="s">
        <v>591</v>
      </c>
      <c r="B79" s="457"/>
      <c r="C79" s="457"/>
      <c r="D79" s="458">
        <v>16800</v>
      </c>
      <c r="E79" s="458"/>
      <c r="F79" s="270">
        <v>2200</v>
      </c>
      <c r="G79" s="459">
        <v>2200</v>
      </c>
      <c r="H79" s="459"/>
      <c r="I79" s="459"/>
      <c r="J79" s="271">
        <v>2200</v>
      </c>
      <c r="K79" s="271">
        <v>2200</v>
      </c>
      <c r="L79" s="270">
        <v>0</v>
      </c>
    </row>
    <row r="80" spans="1:12" ht="18" customHeight="1">
      <c r="A80" s="454" t="s">
        <v>509</v>
      </c>
      <c r="B80" s="454"/>
      <c r="C80" s="454"/>
      <c r="D80" s="455">
        <v>4500</v>
      </c>
      <c r="E80" s="455"/>
      <c r="F80" s="268">
        <v>2490</v>
      </c>
      <c r="G80" s="456">
        <v>2490</v>
      </c>
      <c r="H80" s="456"/>
      <c r="I80" s="456"/>
      <c r="J80" s="269">
        <v>2490</v>
      </c>
      <c r="K80" s="269">
        <v>2490</v>
      </c>
      <c r="L80" s="268">
        <v>0</v>
      </c>
    </row>
    <row r="81" spans="1:12" ht="18" customHeight="1">
      <c r="A81" s="457" t="s">
        <v>509</v>
      </c>
      <c r="B81" s="457"/>
      <c r="C81" s="457"/>
      <c r="D81" s="458">
        <v>4500</v>
      </c>
      <c r="E81" s="458"/>
      <c r="F81" s="270">
        <v>2490</v>
      </c>
      <c r="G81" s="459">
        <v>2490</v>
      </c>
      <c r="H81" s="459"/>
      <c r="I81" s="459"/>
      <c r="J81" s="271">
        <v>2490</v>
      </c>
      <c r="K81" s="271">
        <v>2490</v>
      </c>
      <c r="L81" s="270">
        <v>0</v>
      </c>
    </row>
    <row r="82" spans="1:12" ht="18" customHeight="1">
      <c r="A82" s="454" t="s">
        <v>592</v>
      </c>
      <c r="B82" s="454"/>
      <c r="C82" s="454"/>
      <c r="D82" s="455">
        <v>2500</v>
      </c>
      <c r="E82" s="455"/>
      <c r="F82" s="268">
        <v>0</v>
      </c>
      <c r="G82" s="456">
        <v>0</v>
      </c>
      <c r="H82" s="456"/>
      <c r="I82" s="456"/>
      <c r="J82" s="269">
        <v>0</v>
      </c>
      <c r="K82" s="269">
        <v>0</v>
      </c>
      <c r="L82" s="268">
        <v>0</v>
      </c>
    </row>
    <row r="83" spans="1:12" ht="18" customHeight="1">
      <c r="A83" s="457" t="s">
        <v>593</v>
      </c>
      <c r="B83" s="457"/>
      <c r="C83" s="457"/>
      <c r="D83" s="458">
        <v>0</v>
      </c>
      <c r="E83" s="458"/>
      <c r="F83" s="270">
        <v>2490</v>
      </c>
      <c r="G83" s="459">
        <v>2490</v>
      </c>
      <c r="H83" s="459"/>
      <c r="I83" s="459"/>
      <c r="J83" s="271">
        <v>2490</v>
      </c>
      <c r="K83" s="271">
        <v>2490</v>
      </c>
      <c r="L83" s="270">
        <v>0</v>
      </c>
    </row>
    <row r="84" spans="1:12" ht="18" customHeight="1">
      <c r="A84" s="454" t="s">
        <v>594</v>
      </c>
      <c r="B84" s="454"/>
      <c r="C84" s="454"/>
      <c r="D84" s="455">
        <v>2000</v>
      </c>
      <c r="E84" s="455"/>
      <c r="F84" s="268">
        <v>0</v>
      </c>
      <c r="G84" s="456">
        <v>0</v>
      </c>
      <c r="H84" s="456"/>
      <c r="I84" s="456"/>
      <c r="J84" s="269">
        <v>0</v>
      </c>
      <c r="K84" s="269">
        <v>0</v>
      </c>
      <c r="L84" s="268">
        <v>0</v>
      </c>
    </row>
    <row r="85" spans="1:12" ht="18" customHeight="1">
      <c r="A85" s="457" t="s">
        <v>510</v>
      </c>
      <c r="B85" s="457"/>
      <c r="C85" s="457"/>
      <c r="D85" s="458">
        <v>53140</v>
      </c>
      <c r="E85" s="458"/>
      <c r="F85" s="270">
        <v>64569.760000000002</v>
      </c>
      <c r="G85" s="459">
        <v>62639.25</v>
      </c>
      <c r="H85" s="459"/>
      <c r="I85" s="459"/>
      <c r="J85" s="271">
        <v>62639.25</v>
      </c>
      <c r="K85" s="271">
        <v>62639.25</v>
      </c>
      <c r="L85" s="270">
        <v>1930.51</v>
      </c>
    </row>
    <row r="86" spans="1:12" ht="18" customHeight="1">
      <c r="A86" s="454" t="s">
        <v>511</v>
      </c>
      <c r="B86" s="454"/>
      <c r="C86" s="454"/>
      <c r="D86" s="455">
        <v>43140</v>
      </c>
      <c r="E86" s="455"/>
      <c r="F86" s="268">
        <v>48563.839999999997</v>
      </c>
      <c r="G86" s="456">
        <v>46633.33</v>
      </c>
      <c r="H86" s="456"/>
      <c r="I86" s="456"/>
      <c r="J86" s="269">
        <v>46633.33</v>
      </c>
      <c r="K86" s="269">
        <v>46633.33</v>
      </c>
      <c r="L86" s="268">
        <v>1930.51</v>
      </c>
    </row>
    <row r="87" spans="1:12" ht="18" customHeight="1">
      <c r="A87" s="457" t="s">
        <v>595</v>
      </c>
      <c r="B87" s="457"/>
      <c r="C87" s="457"/>
      <c r="D87" s="458">
        <v>23040</v>
      </c>
      <c r="E87" s="458"/>
      <c r="F87" s="270">
        <v>24913.84</v>
      </c>
      <c r="G87" s="459">
        <v>24000</v>
      </c>
      <c r="H87" s="459"/>
      <c r="I87" s="459"/>
      <c r="J87" s="271">
        <v>24000</v>
      </c>
      <c r="K87" s="271">
        <v>24000</v>
      </c>
      <c r="L87" s="270">
        <v>913.84</v>
      </c>
    </row>
    <row r="88" spans="1:12" ht="18" customHeight="1">
      <c r="A88" s="454" t="s">
        <v>596</v>
      </c>
      <c r="B88" s="454"/>
      <c r="C88" s="454"/>
      <c r="D88" s="455">
        <v>20100</v>
      </c>
      <c r="E88" s="455"/>
      <c r="F88" s="268">
        <v>23650</v>
      </c>
      <c r="G88" s="456">
        <v>22633.33</v>
      </c>
      <c r="H88" s="456"/>
      <c r="I88" s="456"/>
      <c r="J88" s="269">
        <v>22633.33</v>
      </c>
      <c r="K88" s="269">
        <v>22633.33</v>
      </c>
      <c r="L88" s="268">
        <v>1016.67</v>
      </c>
    </row>
    <row r="89" spans="1:12" ht="18" customHeight="1">
      <c r="A89" s="457" t="s">
        <v>508</v>
      </c>
      <c r="B89" s="457"/>
      <c r="C89" s="457"/>
      <c r="D89" s="458">
        <v>10000</v>
      </c>
      <c r="E89" s="458"/>
      <c r="F89" s="270">
        <v>16005.92</v>
      </c>
      <c r="G89" s="459">
        <v>16005.92</v>
      </c>
      <c r="H89" s="459"/>
      <c r="I89" s="459"/>
      <c r="J89" s="271">
        <v>16005.92</v>
      </c>
      <c r="K89" s="271">
        <v>16005.92</v>
      </c>
      <c r="L89" s="270">
        <v>0</v>
      </c>
    </row>
    <row r="90" spans="1:12" ht="18" customHeight="1">
      <c r="A90" s="454" t="s">
        <v>597</v>
      </c>
      <c r="B90" s="454"/>
      <c r="C90" s="454"/>
      <c r="D90" s="455">
        <v>10000</v>
      </c>
      <c r="E90" s="455"/>
      <c r="F90" s="268">
        <v>16005.92</v>
      </c>
      <c r="G90" s="456">
        <v>16005.92</v>
      </c>
      <c r="H90" s="456"/>
      <c r="I90" s="456"/>
      <c r="J90" s="269">
        <v>16005.92</v>
      </c>
      <c r="K90" s="269">
        <v>16005.92</v>
      </c>
      <c r="L90" s="268">
        <v>0</v>
      </c>
    </row>
    <row r="91" spans="1:12" ht="18" customHeight="1">
      <c r="A91" s="457" t="s">
        <v>512</v>
      </c>
      <c r="B91" s="457"/>
      <c r="C91" s="457"/>
      <c r="D91" s="458">
        <v>566537.97</v>
      </c>
      <c r="E91" s="458"/>
      <c r="F91" s="270">
        <v>777255</v>
      </c>
      <c r="G91" s="459">
        <v>580290.04</v>
      </c>
      <c r="H91" s="459"/>
      <c r="I91" s="459"/>
      <c r="J91" s="271">
        <v>389982.51</v>
      </c>
      <c r="K91" s="271">
        <v>379738.97</v>
      </c>
      <c r="L91" s="270">
        <v>196964.96</v>
      </c>
    </row>
    <row r="92" spans="1:12" ht="18" customHeight="1">
      <c r="A92" s="454" t="s">
        <v>513</v>
      </c>
      <c r="B92" s="454"/>
      <c r="C92" s="454"/>
      <c r="D92" s="455">
        <v>62000</v>
      </c>
      <c r="E92" s="455"/>
      <c r="F92" s="268">
        <v>322477.55</v>
      </c>
      <c r="G92" s="456">
        <v>281803.7</v>
      </c>
      <c r="H92" s="456"/>
      <c r="I92" s="456"/>
      <c r="J92" s="269">
        <v>136098.70000000001</v>
      </c>
      <c r="K92" s="269">
        <v>136098.70000000001</v>
      </c>
      <c r="L92" s="268">
        <v>40673.85</v>
      </c>
    </row>
    <row r="93" spans="1:12" ht="18" customHeight="1">
      <c r="A93" s="457" t="s">
        <v>598</v>
      </c>
      <c r="B93" s="457"/>
      <c r="C93" s="457"/>
      <c r="D93" s="458">
        <v>62000</v>
      </c>
      <c r="E93" s="458"/>
      <c r="F93" s="270">
        <v>87411.18</v>
      </c>
      <c r="G93" s="459">
        <v>55633.7</v>
      </c>
      <c r="H93" s="459"/>
      <c r="I93" s="459"/>
      <c r="J93" s="271">
        <v>55633.7</v>
      </c>
      <c r="K93" s="271">
        <v>55633.7</v>
      </c>
      <c r="L93" s="270">
        <v>31777.48</v>
      </c>
    </row>
    <row r="94" spans="1:12" ht="18" customHeight="1">
      <c r="A94" s="454" t="s">
        <v>599</v>
      </c>
      <c r="B94" s="454"/>
      <c r="C94" s="454"/>
      <c r="D94" s="455">
        <v>0</v>
      </c>
      <c r="E94" s="455"/>
      <c r="F94" s="268">
        <v>235066.37</v>
      </c>
      <c r="G94" s="456">
        <v>226170</v>
      </c>
      <c r="H94" s="456"/>
      <c r="I94" s="456"/>
      <c r="J94" s="269">
        <v>80465</v>
      </c>
      <c r="K94" s="269">
        <v>80465</v>
      </c>
      <c r="L94" s="268">
        <v>8896.3700000000008</v>
      </c>
    </row>
    <row r="95" spans="1:12" ht="18" customHeight="1">
      <c r="A95" s="457" t="s">
        <v>514</v>
      </c>
      <c r="B95" s="457"/>
      <c r="C95" s="457"/>
      <c r="D95" s="458">
        <v>3000</v>
      </c>
      <c r="E95" s="458"/>
      <c r="F95" s="270">
        <v>5245.68</v>
      </c>
      <c r="G95" s="459">
        <v>5245.68</v>
      </c>
      <c r="H95" s="459"/>
      <c r="I95" s="459"/>
      <c r="J95" s="271">
        <v>5245.68</v>
      </c>
      <c r="K95" s="271">
        <v>5245.68</v>
      </c>
      <c r="L95" s="270">
        <v>0</v>
      </c>
    </row>
    <row r="96" spans="1:12" ht="18" customHeight="1">
      <c r="A96" s="454" t="s">
        <v>600</v>
      </c>
      <c r="B96" s="454"/>
      <c r="C96" s="454"/>
      <c r="D96" s="455">
        <v>3000</v>
      </c>
      <c r="E96" s="455"/>
      <c r="F96" s="268">
        <v>5245.68</v>
      </c>
      <c r="G96" s="456">
        <v>5245.68</v>
      </c>
      <c r="H96" s="456"/>
      <c r="I96" s="456"/>
      <c r="J96" s="269">
        <v>5245.68</v>
      </c>
      <c r="K96" s="269">
        <v>5245.68</v>
      </c>
      <c r="L96" s="268">
        <v>0</v>
      </c>
    </row>
    <row r="97" spans="1:12" ht="18" customHeight="1">
      <c r="A97" s="457" t="s">
        <v>601</v>
      </c>
      <c r="B97" s="457"/>
      <c r="C97" s="457"/>
      <c r="D97" s="458">
        <v>0</v>
      </c>
      <c r="E97" s="458"/>
      <c r="F97" s="270">
        <v>0</v>
      </c>
      <c r="G97" s="459">
        <v>0</v>
      </c>
      <c r="H97" s="459"/>
      <c r="I97" s="459"/>
      <c r="J97" s="271">
        <v>0</v>
      </c>
      <c r="K97" s="271">
        <v>0</v>
      </c>
      <c r="L97" s="270">
        <v>0</v>
      </c>
    </row>
    <row r="98" spans="1:12" ht="18" customHeight="1">
      <c r="A98" s="454" t="s">
        <v>515</v>
      </c>
      <c r="B98" s="454"/>
      <c r="C98" s="454"/>
      <c r="D98" s="455">
        <v>473537.97</v>
      </c>
      <c r="E98" s="455"/>
      <c r="F98" s="268">
        <v>422286.96</v>
      </c>
      <c r="G98" s="456">
        <v>269424.44</v>
      </c>
      <c r="H98" s="456"/>
      <c r="I98" s="456"/>
      <c r="J98" s="269">
        <v>224821.91</v>
      </c>
      <c r="K98" s="269">
        <v>214578.37</v>
      </c>
      <c r="L98" s="268">
        <v>152862.51999999999</v>
      </c>
    </row>
    <row r="99" spans="1:12" ht="18" customHeight="1">
      <c r="A99" s="457" t="s">
        <v>602</v>
      </c>
      <c r="B99" s="457"/>
      <c r="C99" s="457"/>
      <c r="D99" s="458">
        <v>2800</v>
      </c>
      <c r="E99" s="458"/>
      <c r="F99" s="270">
        <v>0</v>
      </c>
      <c r="G99" s="459">
        <v>0</v>
      </c>
      <c r="H99" s="459"/>
      <c r="I99" s="459"/>
      <c r="J99" s="271">
        <v>0</v>
      </c>
      <c r="K99" s="271">
        <v>0</v>
      </c>
      <c r="L99" s="270">
        <v>0</v>
      </c>
    </row>
    <row r="100" spans="1:12" ht="18" customHeight="1">
      <c r="A100" s="454" t="s">
        <v>603</v>
      </c>
      <c r="B100" s="454"/>
      <c r="C100" s="454"/>
      <c r="D100" s="455">
        <v>1760</v>
      </c>
      <c r="E100" s="455"/>
      <c r="F100" s="268">
        <v>0</v>
      </c>
      <c r="G100" s="456">
        <v>0</v>
      </c>
      <c r="H100" s="456"/>
      <c r="I100" s="456"/>
      <c r="J100" s="269">
        <v>0</v>
      </c>
      <c r="K100" s="269">
        <v>0</v>
      </c>
      <c r="L100" s="268">
        <v>0</v>
      </c>
    </row>
    <row r="101" spans="1:12" ht="18" customHeight="1">
      <c r="A101" s="457" t="s">
        <v>604</v>
      </c>
      <c r="B101" s="457"/>
      <c r="C101" s="457"/>
      <c r="D101" s="458">
        <v>1200</v>
      </c>
      <c r="E101" s="458"/>
      <c r="F101" s="270">
        <v>2019.86</v>
      </c>
      <c r="G101" s="459">
        <v>2019.86</v>
      </c>
      <c r="H101" s="459"/>
      <c r="I101" s="459"/>
      <c r="J101" s="271">
        <v>2019.86</v>
      </c>
      <c r="K101" s="271">
        <v>1844.22</v>
      </c>
      <c r="L101" s="270">
        <v>0</v>
      </c>
    </row>
    <row r="102" spans="1:12" ht="18" customHeight="1">
      <c r="A102" s="454" t="s">
        <v>605</v>
      </c>
      <c r="B102" s="454"/>
      <c r="C102" s="454"/>
      <c r="D102" s="455">
        <v>1500</v>
      </c>
      <c r="E102" s="455"/>
      <c r="F102" s="268">
        <v>0</v>
      </c>
      <c r="G102" s="456">
        <v>0</v>
      </c>
      <c r="H102" s="456"/>
      <c r="I102" s="456"/>
      <c r="J102" s="269">
        <v>0</v>
      </c>
      <c r="K102" s="269">
        <v>0</v>
      </c>
      <c r="L102" s="268">
        <v>0</v>
      </c>
    </row>
    <row r="103" spans="1:12" ht="18" customHeight="1">
      <c r="A103" s="457" t="s">
        <v>606</v>
      </c>
      <c r="B103" s="457"/>
      <c r="C103" s="457"/>
      <c r="D103" s="458">
        <v>77203.539999999994</v>
      </c>
      <c r="E103" s="458"/>
      <c r="F103" s="270">
        <v>34331.300000000003</v>
      </c>
      <c r="G103" s="459">
        <v>30382.98</v>
      </c>
      <c r="H103" s="459"/>
      <c r="I103" s="459"/>
      <c r="J103" s="271">
        <v>30382.98</v>
      </c>
      <c r="K103" s="271">
        <v>30103.93</v>
      </c>
      <c r="L103" s="270">
        <v>3948.32</v>
      </c>
    </row>
    <row r="104" spans="1:12" ht="18" customHeight="1">
      <c r="A104" s="454" t="s">
        <v>607</v>
      </c>
      <c r="B104" s="454"/>
      <c r="C104" s="454"/>
      <c r="D104" s="455">
        <v>1200</v>
      </c>
      <c r="E104" s="455"/>
      <c r="F104" s="268">
        <v>1256.69</v>
      </c>
      <c r="G104" s="456">
        <v>1256.69</v>
      </c>
      <c r="H104" s="456"/>
      <c r="I104" s="456"/>
      <c r="J104" s="269">
        <v>1256.69</v>
      </c>
      <c r="K104" s="269">
        <v>1256.69</v>
      </c>
      <c r="L104" s="268">
        <v>0</v>
      </c>
    </row>
    <row r="105" spans="1:12" ht="18" customHeight="1">
      <c r="A105" s="457" t="s">
        <v>608</v>
      </c>
      <c r="B105" s="457"/>
      <c r="C105" s="457"/>
      <c r="D105" s="458">
        <v>80000</v>
      </c>
      <c r="E105" s="458"/>
      <c r="F105" s="270">
        <v>80000</v>
      </c>
      <c r="G105" s="459">
        <v>79998</v>
      </c>
      <c r="H105" s="459"/>
      <c r="I105" s="459"/>
      <c r="J105" s="271">
        <v>79998</v>
      </c>
      <c r="K105" s="271">
        <v>73198.2</v>
      </c>
      <c r="L105" s="270">
        <v>2</v>
      </c>
    </row>
    <row r="106" spans="1:12" ht="21.75" customHeight="1">
      <c r="A106" s="454" t="s">
        <v>609</v>
      </c>
      <c r="B106" s="454"/>
      <c r="C106" s="454"/>
      <c r="D106" s="455">
        <v>8000</v>
      </c>
      <c r="E106" s="455"/>
      <c r="F106" s="268">
        <v>5934</v>
      </c>
      <c r="G106" s="456">
        <v>5934</v>
      </c>
      <c r="H106" s="456"/>
      <c r="I106" s="456"/>
      <c r="J106" s="269">
        <v>5934</v>
      </c>
      <c r="K106" s="269">
        <v>5934</v>
      </c>
      <c r="L106" s="268">
        <v>0</v>
      </c>
    </row>
    <row r="107" spans="1:12" ht="18" customHeight="1">
      <c r="A107" s="457" t="s">
        <v>610</v>
      </c>
      <c r="B107" s="457"/>
      <c r="C107" s="457"/>
      <c r="D107" s="458">
        <v>6000</v>
      </c>
      <c r="E107" s="458"/>
      <c r="F107" s="270">
        <v>7764</v>
      </c>
      <c r="G107" s="459">
        <v>7762.9</v>
      </c>
      <c r="H107" s="459"/>
      <c r="I107" s="459"/>
      <c r="J107" s="271">
        <v>7762.9</v>
      </c>
      <c r="K107" s="271">
        <v>7762.9</v>
      </c>
      <c r="L107" s="270">
        <v>1.1000000000000001</v>
      </c>
    </row>
    <row r="108" spans="1:12" ht="18" customHeight="1">
      <c r="A108" s="454" t="s">
        <v>611</v>
      </c>
      <c r="B108" s="454"/>
      <c r="C108" s="454"/>
      <c r="D108" s="455">
        <v>2000</v>
      </c>
      <c r="E108" s="455"/>
      <c r="F108" s="268">
        <v>2025</v>
      </c>
      <c r="G108" s="456">
        <v>1910.73</v>
      </c>
      <c r="H108" s="456"/>
      <c r="I108" s="456"/>
      <c r="J108" s="269">
        <v>1910.73</v>
      </c>
      <c r="K108" s="269">
        <v>1910.73</v>
      </c>
      <c r="L108" s="268">
        <v>114.27</v>
      </c>
    </row>
    <row r="109" spans="1:12" ht="18" customHeight="1">
      <c r="A109" s="457" t="s">
        <v>612</v>
      </c>
      <c r="B109" s="457"/>
      <c r="C109" s="457"/>
      <c r="D109" s="458">
        <v>4000</v>
      </c>
      <c r="E109" s="458"/>
      <c r="F109" s="270">
        <v>3119.94</v>
      </c>
      <c r="G109" s="459">
        <v>3119.94</v>
      </c>
      <c r="H109" s="459"/>
      <c r="I109" s="459"/>
      <c r="J109" s="271">
        <v>3119.94</v>
      </c>
      <c r="K109" s="271">
        <v>2978.89</v>
      </c>
      <c r="L109" s="270">
        <v>0</v>
      </c>
    </row>
    <row r="110" spans="1:12" ht="18" customHeight="1">
      <c r="A110" s="454" t="s">
        <v>613</v>
      </c>
      <c r="B110" s="454"/>
      <c r="C110" s="454"/>
      <c r="D110" s="455">
        <v>4000</v>
      </c>
      <c r="E110" s="455"/>
      <c r="F110" s="268">
        <v>0</v>
      </c>
      <c r="G110" s="456">
        <v>0</v>
      </c>
      <c r="H110" s="456"/>
      <c r="I110" s="456"/>
      <c r="J110" s="269">
        <v>0</v>
      </c>
      <c r="K110" s="269">
        <v>0</v>
      </c>
      <c r="L110" s="268">
        <v>0</v>
      </c>
    </row>
    <row r="111" spans="1:12" ht="18" customHeight="1">
      <c r="A111" s="457" t="s">
        <v>614</v>
      </c>
      <c r="B111" s="457"/>
      <c r="C111" s="457"/>
      <c r="D111" s="458">
        <v>2000</v>
      </c>
      <c r="E111" s="458"/>
      <c r="F111" s="270">
        <v>0</v>
      </c>
      <c r="G111" s="459">
        <v>0</v>
      </c>
      <c r="H111" s="459"/>
      <c r="I111" s="459"/>
      <c r="J111" s="271">
        <v>0</v>
      </c>
      <c r="K111" s="271">
        <v>0</v>
      </c>
      <c r="L111" s="270">
        <v>0</v>
      </c>
    </row>
    <row r="112" spans="1:12" ht="18" customHeight="1">
      <c r="A112" s="454" t="s">
        <v>615</v>
      </c>
      <c r="B112" s="454"/>
      <c r="C112" s="454"/>
      <c r="D112" s="455">
        <v>12000</v>
      </c>
      <c r="E112" s="455"/>
      <c r="F112" s="268">
        <v>10262.35</v>
      </c>
      <c r="G112" s="456">
        <v>7116.44</v>
      </c>
      <c r="H112" s="456"/>
      <c r="I112" s="456"/>
      <c r="J112" s="269">
        <v>7116.44</v>
      </c>
      <c r="K112" s="269">
        <v>6961.21</v>
      </c>
      <c r="L112" s="268">
        <v>3145.91</v>
      </c>
    </row>
    <row r="113" spans="1:12" ht="18" customHeight="1">
      <c r="A113" s="457" t="s">
        <v>616</v>
      </c>
      <c r="B113" s="457"/>
      <c r="C113" s="457"/>
      <c r="D113" s="458">
        <v>0</v>
      </c>
      <c r="E113" s="458"/>
      <c r="F113" s="270">
        <v>25583.200000000001</v>
      </c>
      <c r="G113" s="459">
        <v>22430.76</v>
      </c>
      <c r="H113" s="459"/>
      <c r="I113" s="459"/>
      <c r="J113" s="271">
        <v>22430.76</v>
      </c>
      <c r="K113" s="271">
        <v>20524.55</v>
      </c>
      <c r="L113" s="270">
        <v>3152.44</v>
      </c>
    </row>
    <row r="114" spans="1:12" ht="18" customHeight="1">
      <c r="A114" s="454" t="s">
        <v>617</v>
      </c>
      <c r="B114" s="454"/>
      <c r="C114" s="454"/>
      <c r="D114" s="455">
        <v>10000</v>
      </c>
      <c r="E114" s="455"/>
      <c r="F114" s="268">
        <v>10000</v>
      </c>
      <c r="G114" s="456">
        <v>9369.98</v>
      </c>
      <c r="H114" s="456"/>
      <c r="I114" s="456"/>
      <c r="J114" s="269">
        <v>9369.98</v>
      </c>
      <c r="K114" s="269">
        <v>8583.42</v>
      </c>
      <c r="L114" s="268">
        <v>630.02</v>
      </c>
    </row>
    <row r="115" spans="1:12" ht="18" customHeight="1">
      <c r="A115" s="457" t="s">
        <v>618</v>
      </c>
      <c r="B115" s="457"/>
      <c r="C115" s="457"/>
      <c r="D115" s="458">
        <v>16800</v>
      </c>
      <c r="E115" s="458"/>
      <c r="F115" s="270">
        <v>11651.05</v>
      </c>
      <c r="G115" s="459">
        <v>8054.31</v>
      </c>
      <c r="H115" s="459"/>
      <c r="I115" s="459"/>
      <c r="J115" s="271">
        <v>8054.31</v>
      </c>
      <c r="K115" s="271">
        <v>8054.31</v>
      </c>
      <c r="L115" s="270">
        <v>3596.74</v>
      </c>
    </row>
    <row r="116" spans="1:12" ht="18" customHeight="1">
      <c r="A116" s="454" t="s">
        <v>619</v>
      </c>
      <c r="B116" s="454"/>
      <c r="C116" s="454"/>
      <c r="D116" s="455">
        <v>243074.43</v>
      </c>
      <c r="E116" s="455"/>
      <c r="F116" s="268">
        <v>228339.57</v>
      </c>
      <c r="G116" s="456">
        <v>90067.85</v>
      </c>
      <c r="H116" s="456"/>
      <c r="I116" s="456"/>
      <c r="J116" s="269">
        <v>45465.32</v>
      </c>
      <c r="K116" s="269">
        <v>45465.32</v>
      </c>
      <c r="L116" s="268">
        <v>138271.72</v>
      </c>
    </row>
    <row r="117" spans="1:12" ht="18" customHeight="1">
      <c r="A117" s="457" t="s">
        <v>516</v>
      </c>
      <c r="B117" s="457"/>
      <c r="C117" s="457"/>
      <c r="D117" s="458">
        <v>28000</v>
      </c>
      <c r="E117" s="458"/>
      <c r="F117" s="270">
        <v>27244.81</v>
      </c>
      <c r="G117" s="459">
        <v>23816.22</v>
      </c>
      <c r="H117" s="459"/>
      <c r="I117" s="459"/>
      <c r="J117" s="271">
        <v>23816.22</v>
      </c>
      <c r="K117" s="271">
        <v>23816.22</v>
      </c>
      <c r="L117" s="270">
        <v>3428.59</v>
      </c>
    </row>
    <row r="118" spans="1:12" ht="18" customHeight="1">
      <c r="A118" s="454" t="s">
        <v>597</v>
      </c>
      <c r="B118" s="454"/>
      <c r="C118" s="454"/>
      <c r="D118" s="455">
        <v>16000</v>
      </c>
      <c r="E118" s="455"/>
      <c r="F118" s="268">
        <v>27244.81</v>
      </c>
      <c r="G118" s="456">
        <v>23816.22</v>
      </c>
      <c r="H118" s="456"/>
      <c r="I118" s="456"/>
      <c r="J118" s="269">
        <v>23816.22</v>
      </c>
      <c r="K118" s="269">
        <v>23816.22</v>
      </c>
      <c r="L118" s="268">
        <v>3428.59</v>
      </c>
    </row>
    <row r="119" spans="1:12" ht="18" customHeight="1">
      <c r="A119" s="457" t="s">
        <v>591</v>
      </c>
      <c r="B119" s="457"/>
      <c r="C119" s="457"/>
      <c r="D119" s="458">
        <v>12000</v>
      </c>
      <c r="E119" s="458"/>
      <c r="F119" s="270">
        <v>0</v>
      </c>
      <c r="G119" s="459">
        <v>0</v>
      </c>
      <c r="H119" s="459"/>
      <c r="I119" s="459"/>
      <c r="J119" s="271">
        <v>0</v>
      </c>
      <c r="K119" s="271">
        <v>0</v>
      </c>
      <c r="L119" s="270">
        <v>0</v>
      </c>
    </row>
    <row r="120" spans="1:12" ht="18" customHeight="1">
      <c r="A120" s="454" t="s">
        <v>517</v>
      </c>
      <c r="B120" s="454"/>
      <c r="C120" s="454"/>
      <c r="D120" s="455">
        <v>48000</v>
      </c>
      <c r="E120" s="455"/>
      <c r="F120" s="268">
        <v>49103.92</v>
      </c>
      <c r="G120" s="456">
        <v>47002.82</v>
      </c>
      <c r="H120" s="456"/>
      <c r="I120" s="456"/>
      <c r="J120" s="269">
        <v>47002.82</v>
      </c>
      <c r="K120" s="269">
        <v>47002.82</v>
      </c>
      <c r="L120" s="268">
        <v>2101.1</v>
      </c>
    </row>
    <row r="121" spans="1:12" ht="18" customHeight="1">
      <c r="A121" s="457" t="s">
        <v>517</v>
      </c>
      <c r="B121" s="457"/>
      <c r="C121" s="457"/>
      <c r="D121" s="458">
        <v>48000</v>
      </c>
      <c r="E121" s="458"/>
      <c r="F121" s="270">
        <v>49103.92</v>
      </c>
      <c r="G121" s="459">
        <v>47002.82</v>
      </c>
      <c r="H121" s="459"/>
      <c r="I121" s="459"/>
      <c r="J121" s="271">
        <v>47002.82</v>
      </c>
      <c r="K121" s="271">
        <v>47002.82</v>
      </c>
      <c r="L121" s="270">
        <v>2101.1</v>
      </c>
    </row>
    <row r="122" spans="1:12" ht="18" customHeight="1">
      <c r="A122" s="454" t="s">
        <v>620</v>
      </c>
      <c r="B122" s="454"/>
      <c r="C122" s="454"/>
      <c r="D122" s="455">
        <v>0</v>
      </c>
      <c r="E122" s="455"/>
      <c r="F122" s="268">
        <v>715.15</v>
      </c>
      <c r="G122" s="456">
        <v>715.15</v>
      </c>
      <c r="H122" s="456"/>
      <c r="I122" s="456"/>
      <c r="J122" s="269">
        <v>715.15</v>
      </c>
      <c r="K122" s="269">
        <v>715.15</v>
      </c>
      <c r="L122" s="268">
        <v>0</v>
      </c>
    </row>
    <row r="123" spans="1:12" ht="18" customHeight="1">
      <c r="A123" s="457" t="s">
        <v>621</v>
      </c>
      <c r="B123" s="457"/>
      <c r="C123" s="457"/>
      <c r="D123" s="458">
        <v>18000</v>
      </c>
      <c r="E123" s="458"/>
      <c r="F123" s="270">
        <v>15977.39</v>
      </c>
      <c r="G123" s="459">
        <v>13876.29</v>
      </c>
      <c r="H123" s="459"/>
      <c r="I123" s="459"/>
      <c r="J123" s="271">
        <v>13876.29</v>
      </c>
      <c r="K123" s="271">
        <v>13876.29</v>
      </c>
      <c r="L123" s="270">
        <v>2101.1</v>
      </c>
    </row>
    <row r="124" spans="1:12" ht="18" customHeight="1">
      <c r="A124" s="454" t="s">
        <v>622</v>
      </c>
      <c r="B124" s="454"/>
      <c r="C124" s="454"/>
      <c r="D124" s="455">
        <v>30000</v>
      </c>
      <c r="E124" s="455"/>
      <c r="F124" s="268">
        <v>32411.38</v>
      </c>
      <c r="G124" s="456">
        <v>32411.38</v>
      </c>
      <c r="H124" s="456"/>
      <c r="I124" s="456"/>
      <c r="J124" s="269">
        <v>32411.38</v>
      </c>
      <c r="K124" s="269">
        <v>32411.38</v>
      </c>
      <c r="L124" s="268">
        <v>0</v>
      </c>
    </row>
    <row r="125" spans="1:12" ht="18" customHeight="1">
      <c r="A125" s="457" t="s">
        <v>518</v>
      </c>
      <c r="B125" s="457"/>
      <c r="C125" s="457"/>
      <c r="D125" s="458">
        <v>133827.31</v>
      </c>
      <c r="E125" s="458"/>
      <c r="F125" s="270">
        <v>120968.65</v>
      </c>
      <c r="G125" s="459">
        <v>120968.65</v>
      </c>
      <c r="H125" s="459"/>
      <c r="I125" s="459"/>
      <c r="J125" s="271">
        <v>120968.65</v>
      </c>
      <c r="K125" s="271">
        <v>120968.65</v>
      </c>
      <c r="L125" s="270">
        <v>0</v>
      </c>
    </row>
    <row r="126" spans="1:12" ht="18" customHeight="1">
      <c r="A126" s="454" t="s">
        <v>519</v>
      </c>
      <c r="B126" s="454"/>
      <c r="C126" s="454"/>
      <c r="D126" s="455">
        <v>21580.14</v>
      </c>
      <c r="E126" s="455"/>
      <c r="F126" s="268">
        <v>17311.75</v>
      </c>
      <c r="G126" s="456">
        <v>17311.75</v>
      </c>
      <c r="H126" s="456"/>
      <c r="I126" s="456"/>
      <c r="J126" s="269">
        <v>17311.75</v>
      </c>
      <c r="K126" s="269">
        <v>17311.75</v>
      </c>
      <c r="L126" s="268">
        <v>0</v>
      </c>
    </row>
    <row r="127" spans="1:12" ht="18" customHeight="1">
      <c r="A127" s="457" t="s">
        <v>623</v>
      </c>
      <c r="B127" s="457"/>
      <c r="C127" s="457"/>
      <c r="D127" s="458">
        <v>21580.14</v>
      </c>
      <c r="E127" s="458"/>
      <c r="F127" s="270">
        <v>17311.75</v>
      </c>
      <c r="G127" s="459">
        <v>17311.75</v>
      </c>
      <c r="H127" s="459"/>
      <c r="I127" s="459"/>
      <c r="J127" s="271">
        <v>17311.75</v>
      </c>
      <c r="K127" s="271">
        <v>17311.75</v>
      </c>
      <c r="L127" s="270">
        <v>0</v>
      </c>
    </row>
    <row r="128" spans="1:12" ht="18" customHeight="1">
      <c r="A128" s="454" t="s">
        <v>520</v>
      </c>
      <c r="B128" s="454"/>
      <c r="C128" s="454"/>
      <c r="D128" s="455">
        <v>112247.17</v>
      </c>
      <c r="E128" s="455"/>
      <c r="F128" s="268">
        <v>103656.9</v>
      </c>
      <c r="G128" s="456">
        <v>103656.9</v>
      </c>
      <c r="H128" s="456"/>
      <c r="I128" s="456"/>
      <c r="J128" s="269">
        <v>103656.9</v>
      </c>
      <c r="K128" s="269">
        <v>103656.9</v>
      </c>
      <c r="L128" s="268">
        <v>0</v>
      </c>
    </row>
    <row r="129" spans="1:12" ht="18" customHeight="1">
      <c r="A129" s="457" t="s">
        <v>624</v>
      </c>
      <c r="B129" s="457"/>
      <c r="C129" s="457"/>
      <c r="D129" s="458">
        <v>112247.17</v>
      </c>
      <c r="E129" s="458"/>
      <c r="F129" s="270">
        <v>103656.9</v>
      </c>
      <c r="G129" s="459">
        <v>103656.9</v>
      </c>
      <c r="H129" s="459"/>
      <c r="I129" s="459"/>
      <c r="J129" s="271">
        <v>103656.9</v>
      </c>
      <c r="K129" s="271">
        <v>103656.9</v>
      </c>
      <c r="L129" s="270">
        <v>0</v>
      </c>
    </row>
    <row r="130" spans="1:12" ht="18" customHeight="1">
      <c r="A130" s="454" t="s">
        <v>521</v>
      </c>
      <c r="B130" s="454"/>
      <c r="C130" s="454"/>
      <c r="D130" s="455">
        <v>0</v>
      </c>
      <c r="E130" s="455"/>
      <c r="F130" s="268">
        <v>606225.31000000006</v>
      </c>
      <c r="G130" s="456">
        <v>606225.31000000006</v>
      </c>
      <c r="H130" s="456"/>
      <c r="I130" s="456"/>
      <c r="J130" s="269">
        <v>606225.31000000006</v>
      </c>
      <c r="K130" s="269">
        <v>606225.31000000006</v>
      </c>
      <c r="L130" s="268">
        <v>0</v>
      </c>
    </row>
    <row r="131" spans="1:12" ht="18" customHeight="1">
      <c r="A131" s="457" t="s">
        <v>522</v>
      </c>
      <c r="B131" s="457"/>
      <c r="C131" s="457"/>
      <c r="D131" s="458">
        <v>0</v>
      </c>
      <c r="E131" s="458"/>
      <c r="F131" s="270">
        <v>606225.31000000006</v>
      </c>
      <c r="G131" s="459">
        <v>606225.31000000006</v>
      </c>
      <c r="H131" s="459"/>
      <c r="I131" s="459"/>
      <c r="J131" s="271">
        <v>606225.31000000006</v>
      </c>
      <c r="K131" s="271">
        <v>606225.31000000006</v>
      </c>
      <c r="L131" s="270">
        <v>0</v>
      </c>
    </row>
    <row r="132" spans="1:12" ht="18" customHeight="1">
      <c r="A132" s="454" t="s">
        <v>523</v>
      </c>
      <c r="B132" s="454"/>
      <c r="C132" s="454"/>
      <c r="D132" s="455">
        <v>0</v>
      </c>
      <c r="E132" s="455"/>
      <c r="F132" s="268">
        <v>8500</v>
      </c>
      <c r="G132" s="456">
        <v>8500</v>
      </c>
      <c r="H132" s="456"/>
      <c r="I132" s="456"/>
      <c r="J132" s="269">
        <v>8500</v>
      </c>
      <c r="K132" s="269">
        <v>8500</v>
      </c>
      <c r="L132" s="268">
        <v>0</v>
      </c>
    </row>
    <row r="133" spans="1:12" ht="18" customHeight="1">
      <c r="A133" s="457" t="s">
        <v>625</v>
      </c>
      <c r="B133" s="457"/>
      <c r="C133" s="457"/>
      <c r="D133" s="458">
        <v>0</v>
      </c>
      <c r="E133" s="458"/>
      <c r="F133" s="270">
        <v>8500</v>
      </c>
      <c r="G133" s="459">
        <v>8500</v>
      </c>
      <c r="H133" s="459"/>
      <c r="I133" s="459"/>
      <c r="J133" s="271">
        <v>8500</v>
      </c>
      <c r="K133" s="271">
        <v>8500</v>
      </c>
      <c r="L133" s="270">
        <v>0</v>
      </c>
    </row>
    <row r="134" spans="1:12" ht="18" customHeight="1">
      <c r="A134" s="454" t="s">
        <v>524</v>
      </c>
      <c r="B134" s="454"/>
      <c r="C134" s="454"/>
      <c r="D134" s="455">
        <v>0</v>
      </c>
      <c r="E134" s="455"/>
      <c r="F134" s="268">
        <v>597725.31000000006</v>
      </c>
      <c r="G134" s="456">
        <v>597725.31000000006</v>
      </c>
      <c r="H134" s="456"/>
      <c r="I134" s="456"/>
      <c r="J134" s="269">
        <v>597725.31000000006</v>
      </c>
      <c r="K134" s="269">
        <v>597725.31000000006</v>
      </c>
      <c r="L134" s="268">
        <v>0</v>
      </c>
    </row>
    <row r="135" spans="1:12" ht="18" customHeight="1">
      <c r="A135" s="457" t="s">
        <v>626</v>
      </c>
      <c r="B135" s="457"/>
      <c r="C135" s="457"/>
      <c r="D135" s="458">
        <v>0</v>
      </c>
      <c r="E135" s="458"/>
      <c r="F135" s="270">
        <v>597725.31000000006</v>
      </c>
      <c r="G135" s="459">
        <v>597725.31000000006</v>
      </c>
      <c r="H135" s="459"/>
      <c r="I135" s="459"/>
      <c r="J135" s="271">
        <v>597725.31000000006</v>
      </c>
      <c r="K135" s="271">
        <v>597725.31000000006</v>
      </c>
      <c r="L135" s="270">
        <v>0</v>
      </c>
    </row>
    <row r="136" spans="1:12" ht="18" customHeight="1">
      <c r="A136" s="445" t="s">
        <v>525</v>
      </c>
      <c r="B136" s="445"/>
      <c r="C136" s="445"/>
      <c r="D136" s="446">
        <v>1543712.46</v>
      </c>
      <c r="E136" s="446"/>
      <c r="F136" s="274">
        <v>2347269.83</v>
      </c>
      <c r="G136" s="447">
        <v>2145239.37</v>
      </c>
      <c r="H136" s="447"/>
      <c r="I136" s="447"/>
      <c r="J136" s="275">
        <v>1954931.84</v>
      </c>
      <c r="K136" s="275">
        <v>1930137.58</v>
      </c>
      <c r="L136" s="274">
        <v>202030.46</v>
      </c>
    </row>
    <row r="137" spans="1:12" ht="18" customHeight="1">
      <c r="A137" s="451" t="s">
        <v>526</v>
      </c>
      <c r="B137" s="451"/>
      <c r="C137" s="451"/>
      <c r="D137" s="452">
        <v>0</v>
      </c>
      <c r="E137" s="452"/>
      <c r="F137" s="272">
        <v>0</v>
      </c>
      <c r="G137" s="453">
        <v>0</v>
      </c>
      <c r="H137" s="453"/>
      <c r="I137" s="453"/>
      <c r="J137" s="273">
        <v>0</v>
      </c>
      <c r="K137" s="273">
        <v>0</v>
      </c>
      <c r="L137" s="272">
        <v>0</v>
      </c>
    </row>
    <row r="138" spans="1:12" ht="18" customHeight="1">
      <c r="A138" s="445" t="s">
        <v>3</v>
      </c>
      <c r="B138" s="445"/>
      <c r="C138" s="445"/>
      <c r="D138" s="446">
        <v>1543712.46</v>
      </c>
      <c r="E138" s="446"/>
      <c r="F138" s="274">
        <v>2347269.83</v>
      </c>
      <c r="G138" s="447">
        <v>2145239.37</v>
      </c>
      <c r="H138" s="447"/>
      <c r="I138" s="447"/>
      <c r="J138" s="275">
        <v>1954931.84</v>
      </c>
      <c r="K138" s="275">
        <v>1930137.58</v>
      </c>
      <c r="L138" s="274">
        <v>202030.46</v>
      </c>
    </row>
    <row r="139" spans="1:12" ht="3.75" customHeight="1"/>
    <row r="140" spans="1:12" ht="11.25" customHeight="1">
      <c r="B140" s="448"/>
      <c r="C140" s="448"/>
      <c r="D140" s="448"/>
      <c r="E140" s="448"/>
      <c r="F140" s="448"/>
      <c r="G140" s="448"/>
      <c r="H140" s="448"/>
    </row>
    <row r="141" spans="1:12" ht="53.25" customHeight="1"/>
    <row r="142" spans="1:12" ht="12.75" customHeight="1">
      <c r="K142" s="449" t="s">
        <v>527</v>
      </c>
      <c r="L142" s="449"/>
    </row>
    <row r="143" spans="1:12" ht="13.5" customHeight="1">
      <c r="E143" s="450" t="s">
        <v>528</v>
      </c>
      <c r="F143" s="450"/>
      <c r="G143" s="450"/>
    </row>
  </sheetData>
  <mergeCells count="372">
    <mergeCell ref="A11:L11"/>
    <mergeCell ref="A13:L13"/>
    <mergeCell ref="A14:C15"/>
    <mergeCell ref="K14:L14"/>
    <mergeCell ref="A17:L17"/>
    <mergeCell ref="A19:L19"/>
    <mergeCell ref="A2:J2"/>
    <mergeCell ref="A3:J3"/>
    <mergeCell ref="A5:C6"/>
    <mergeCell ref="A8:L8"/>
    <mergeCell ref="K9:L9"/>
    <mergeCell ref="A10:L10"/>
    <mergeCell ref="A22:C22"/>
    <mergeCell ref="D22:E22"/>
    <mergeCell ref="G22:I22"/>
    <mergeCell ref="A23:C23"/>
    <mergeCell ref="D23:E23"/>
    <mergeCell ref="G23:I23"/>
    <mergeCell ref="A20:C20"/>
    <mergeCell ref="D20:E20"/>
    <mergeCell ref="G20:I20"/>
    <mergeCell ref="A21:C21"/>
    <mergeCell ref="D21:E21"/>
    <mergeCell ref="G21:I21"/>
    <mergeCell ref="A26:C26"/>
    <mergeCell ref="D26:E26"/>
    <mergeCell ref="G26:I26"/>
    <mergeCell ref="A27:C27"/>
    <mergeCell ref="D27:E27"/>
    <mergeCell ref="G27:I27"/>
    <mergeCell ref="A24:C24"/>
    <mergeCell ref="D24:E24"/>
    <mergeCell ref="G24:I24"/>
    <mergeCell ref="A25:C25"/>
    <mergeCell ref="D25:E25"/>
    <mergeCell ref="G25:I25"/>
    <mergeCell ref="A30:C30"/>
    <mergeCell ref="D30:E30"/>
    <mergeCell ref="G30:I30"/>
    <mergeCell ref="A31:C31"/>
    <mergeCell ref="D31:E31"/>
    <mergeCell ref="G31:I31"/>
    <mergeCell ref="A28:C28"/>
    <mergeCell ref="D28:E28"/>
    <mergeCell ref="G28:I28"/>
    <mergeCell ref="A29:C29"/>
    <mergeCell ref="D29:E29"/>
    <mergeCell ref="G29:I29"/>
    <mergeCell ref="A34:C34"/>
    <mergeCell ref="D34:E34"/>
    <mergeCell ref="G34:I34"/>
    <mergeCell ref="A35:C35"/>
    <mergeCell ref="D35:E35"/>
    <mergeCell ref="G35:I35"/>
    <mergeCell ref="A32:C32"/>
    <mergeCell ref="D32:E32"/>
    <mergeCell ref="G32:I32"/>
    <mergeCell ref="A33:C33"/>
    <mergeCell ref="D33:E33"/>
    <mergeCell ref="G33:I33"/>
    <mergeCell ref="A38:C38"/>
    <mergeCell ref="D38:E38"/>
    <mergeCell ref="G38:I38"/>
    <mergeCell ref="A39:C39"/>
    <mergeCell ref="D39:E39"/>
    <mergeCell ref="G39:I39"/>
    <mergeCell ref="A36:C36"/>
    <mergeCell ref="D36:E36"/>
    <mergeCell ref="G36:I36"/>
    <mergeCell ref="A37:C37"/>
    <mergeCell ref="D37:E37"/>
    <mergeCell ref="G37:I37"/>
    <mergeCell ref="A42:C42"/>
    <mergeCell ref="D42:E42"/>
    <mergeCell ref="G42:I42"/>
    <mergeCell ref="A43:C43"/>
    <mergeCell ref="D43:E43"/>
    <mergeCell ref="G43:I43"/>
    <mergeCell ref="A40:C40"/>
    <mergeCell ref="D40:E40"/>
    <mergeCell ref="G40:I40"/>
    <mergeCell ref="A41:C41"/>
    <mergeCell ref="D41:E41"/>
    <mergeCell ref="G41:I41"/>
    <mergeCell ref="A46:C46"/>
    <mergeCell ref="D46:E46"/>
    <mergeCell ref="G46:I46"/>
    <mergeCell ref="A47:C47"/>
    <mergeCell ref="D47:E47"/>
    <mergeCell ref="G47:I47"/>
    <mergeCell ref="A44:C44"/>
    <mergeCell ref="D44:E44"/>
    <mergeCell ref="G44:I44"/>
    <mergeCell ref="A45:C45"/>
    <mergeCell ref="D45:E45"/>
    <mergeCell ref="G45:I45"/>
    <mergeCell ref="A50:C50"/>
    <mergeCell ref="D50:E50"/>
    <mergeCell ref="G50:I50"/>
    <mergeCell ref="A51:C51"/>
    <mergeCell ref="D51:E51"/>
    <mergeCell ref="G51:I51"/>
    <mergeCell ref="A48:C48"/>
    <mergeCell ref="D48:E48"/>
    <mergeCell ref="G48:I48"/>
    <mergeCell ref="A49:C49"/>
    <mergeCell ref="D49:E49"/>
    <mergeCell ref="G49:I49"/>
    <mergeCell ref="A54:C54"/>
    <mergeCell ref="D54:E54"/>
    <mergeCell ref="G54:I54"/>
    <mergeCell ref="A55:C55"/>
    <mergeCell ref="D55:E55"/>
    <mergeCell ref="G55:I55"/>
    <mergeCell ref="A52:C52"/>
    <mergeCell ref="D52:E52"/>
    <mergeCell ref="G52:I52"/>
    <mergeCell ref="A53:C53"/>
    <mergeCell ref="D53:E53"/>
    <mergeCell ref="G53:I53"/>
    <mergeCell ref="A58:C58"/>
    <mergeCell ref="D58:E58"/>
    <mergeCell ref="G58:I58"/>
    <mergeCell ref="A59:C59"/>
    <mergeCell ref="D59:E59"/>
    <mergeCell ref="G59:I59"/>
    <mergeCell ref="A56:C56"/>
    <mergeCell ref="D56:E56"/>
    <mergeCell ref="G56:I56"/>
    <mergeCell ref="A57:C57"/>
    <mergeCell ref="D57:E57"/>
    <mergeCell ref="G57:I57"/>
    <mergeCell ref="A62:C62"/>
    <mergeCell ref="D62:E62"/>
    <mergeCell ref="G62:I62"/>
    <mergeCell ref="A63:C63"/>
    <mergeCell ref="D63:E63"/>
    <mergeCell ref="G63:I63"/>
    <mergeCell ref="A60:C60"/>
    <mergeCell ref="D60:E60"/>
    <mergeCell ref="G60:I60"/>
    <mergeCell ref="A61:C61"/>
    <mergeCell ref="D61:E61"/>
    <mergeCell ref="G61:I61"/>
    <mergeCell ref="A66:C66"/>
    <mergeCell ref="D66:E66"/>
    <mergeCell ref="G66:I66"/>
    <mergeCell ref="A67:C67"/>
    <mergeCell ref="D67:E67"/>
    <mergeCell ref="G67:I67"/>
    <mergeCell ref="A64:C64"/>
    <mergeCell ref="D64:E64"/>
    <mergeCell ref="G64:I64"/>
    <mergeCell ref="A65:C65"/>
    <mergeCell ref="D65:E65"/>
    <mergeCell ref="G65:I65"/>
    <mergeCell ref="A70:C70"/>
    <mergeCell ref="D70:E70"/>
    <mergeCell ref="G70:I70"/>
    <mergeCell ref="A71:C71"/>
    <mergeCell ref="D71:E71"/>
    <mergeCell ref="G71:I71"/>
    <mergeCell ref="A68:C68"/>
    <mergeCell ref="D68:E68"/>
    <mergeCell ref="G68:I68"/>
    <mergeCell ref="A69:C69"/>
    <mergeCell ref="D69:E69"/>
    <mergeCell ref="G69:I69"/>
    <mergeCell ref="A74:C74"/>
    <mergeCell ref="D74:E74"/>
    <mergeCell ref="G74:I74"/>
    <mergeCell ref="A75:C75"/>
    <mergeCell ref="D75:E75"/>
    <mergeCell ref="G75:I75"/>
    <mergeCell ref="A72:C72"/>
    <mergeCell ref="D72:E72"/>
    <mergeCell ref="G72:I72"/>
    <mergeCell ref="A73:C73"/>
    <mergeCell ref="D73:E73"/>
    <mergeCell ref="G73:I73"/>
    <mergeCell ref="A78:C78"/>
    <mergeCell ref="D78:E78"/>
    <mergeCell ref="G78:I78"/>
    <mergeCell ref="A79:C79"/>
    <mergeCell ref="D79:E79"/>
    <mergeCell ref="G79:I79"/>
    <mergeCell ref="A76:C76"/>
    <mergeCell ref="D76:E76"/>
    <mergeCell ref="G76:I76"/>
    <mergeCell ref="A77:C77"/>
    <mergeCell ref="D77:E77"/>
    <mergeCell ref="G77:I77"/>
    <mergeCell ref="A82:C82"/>
    <mergeCell ref="D82:E82"/>
    <mergeCell ref="G82:I82"/>
    <mergeCell ref="A83:C83"/>
    <mergeCell ref="D83:E83"/>
    <mergeCell ref="G83:I83"/>
    <mergeCell ref="A80:C80"/>
    <mergeCell ref="D80:E80"/>
    <mergeCell ref="G80:I80"/>
    <mergeCell ref="A81:C81"/>
    <mergeCell ref="D81:E81"/>
    <mergeCell ref="G81:I81"/>
    <mergeCell ref="A86:C86"/>
    <mergeCell ref="D86:E86"/>
    <mergeCell ref="G86:I86"/>
    <mergeCell ref="A87:C87"/>
    <mergeCell ref="D87:E87"/>
    <mergeCell ref="G87:I87"/>
    <mergeCell ref="A84:C84"/>
    <mergeCell ref="D84:E84"/>
    <mergeCell ref="G84:I84"/>
    <mergeCell ref="A85:C85"/>
    <mergeCell ref="D85:E85"/>
    <mergeCell ref="G85:I85"/>
    <mergeCell ref="A90:C90"/>
    <mergeCell ref="D90:E90"/>
    <mergeCell ref="G90:I90"/>
    <mergeCell ref="A91:C91"/>
    <mergeCell ref="D91:E91"/>
    <mergeCell ref="G91:I91"/>
    <mergeCell ref="A88:C88"/>
    <mergeCell ref="D88:E88"/>
    <mergeCell ref="G88:I88"/>
    <mergeCell ref="A89:C89"/>
    <mergeCell ref="D89:E89"/>
    <mergeCell ref="G89:I89"/>
    <mergeCell ref="A94:C94"/>
    <mergeCell ref="D94:E94"/>
    <mergeCell ref="G94:I94"/>
    <mergeCell ref="A95:C95"/>
    <mergeCell ref="D95:E95"/>
    <mergeCell ref="G95:I95"/>
    <mergeCell ref="A92:C92"/>
    <mergeCell ref="D92:E92"/>
    <mergeCell ref="G92:I92"/>
    <mergeCell ref="A93:C93"/>
    <mergeCell ref="D93:E93"/>
    <mergeCell ref="G93:I93"/>
    <mergeCell ref="A98:C98"/>
    <mergeCell ref="D98:E98"/>
    <mergeCell ref="G98:I98"/>
    <mergeCell ref="A99:C99"/>
    <mergeCell ref="D99:E99"/>
    <mergeCell ref="G99:I99"/>
    <mergeCell ref="A96:C96"/>
    <mergeCell ref="D96:E96"/>
    <mergeCell ref="G96:I96"/>
    <mergeCell ref="A97:C97"/>
    <mergeCell ref="D97:E97"/>
    <mergeCell ref="G97:I97"/>
    <mergeCell ref="A102:C102"/>
    <mergeCell ref="D102:E102"/>
    <mergeCell ref="G102:I102"/>
    <mergeCell ref="A103:C103"/>
    <mergeCell ref="D103:E103"/>
    <mergeCell ref="G103:I103"/>
    <mergeCell ref="A100:C100"/>
    <mergeCell ref="D100:E100"/>
    <mergeCell ref="G100:I100"/>
    <mergeCell ref="A101:C101"/>
    <mergeCell ref="D101:E101"/>
    <mergeCell ref="G101:I101"/>
    <mergeCell ref="A106:C106"/>
    <mergeCell ref="D106:E106"/>
    <mergeCell ref="G106:I106"/>
    <mergeCell ref="A107:C107"/>
    <mergeCell ref="D107:E107"/>
    <mergeCell ref="G107:I107"/>
    <mergeCell ref="A104:C104"/>
    <mergeCell ref="D104:E104"/>
    <mergeCell ref="G104:I104"/>
    <mergeCell ref="A105:C105"/>
    <mergeCell ref="D105:E105"/>
    <mergeCell ref="G105:I105"/>
    <mergeCell ref="A110:C110"/>
    <mergeCell ref="D110:E110"/>
    <mergeCell ref="G110:I110"/>
    <mergeCell ref="A111:C111"/>
    <mergeCell ref="D111:E111"/>
    <mergeCell ref="G111:I111"/>
    <mergeCell ref="A108:C108"/>
    <mergeCell ref="D108:E108"/>
    <mergeCell ref="G108:I108"/>
    <mergeCell ref="A109:C109"/>
    <mergeCell ref="D109:E109"/>
    <mergeCell ref="G109:I109"/>
    <mergeCell ref="A114:C114"/>
    <mergeCell ref="D114:E114"/>
    <mergeCell ref="G114:I114"/>
    <mergeCell ref="A115:C115"/>
    <mergeCell ref="D115:E115"/>
    <mergeCell ref="G115:I115"/>
    <mergeCell ref="A112:C112"/>
    <mergeCell ref="D112:E112"/>
    <mergeCell ref="G112:I112"/>
    <mergeCell ref="A113:C113"/>
    <mergeCell ref="D113:E113"/>
    <mergeCell ref="G113:I113"/>
    <mergeCell ref="A118:C118"/>
    <mergeCell ref="D118:E118"/>
    <mergeCell ref="G118:I118"/>
    <mergeCell ref="A119:C119"/>
    <mergeCell ref="D119:E119"/>
    <mergeCell ref="G119:I119"/>
    <mergeCell ref="A116:C116"/>
    <mergeCell ref="D116:E116"/>
    <mergeCell ref="G116:I116"/>
    <mergeCell ref="A117:C117"/>
    <mergeCell ref="D117:E117"/>
    <mergeCell ref="G117:I117"/>
    <mergeCell ref="A122:C122"/>
    <mergeCell ref="D122:E122"/>
    <mergeCell ref="G122:I122"/>
    <mergeCell ref="A123:C123"/>
    <mergeCell ref="D123:E123"/>
    <mergeCell ref="G123:I123"/>
    <mergeCell ref="A120:C120"/>
    <mergeCell ref="D120:E120"/>
    <mergeCell ref="G120:I120"/>
    <mergeCell ref="A121:C121"/>
    <mergeCell ref="D121:E121"/>
    <mergeCell ref="G121:I121"/>
    <mergeCell ref="A126:C126"/>
    <mergeCell ref="D126:E126"/>
    <mergeCell ref="G126:I126"/>
    <mergeCell ref="A127:C127"/>
    <mergeCell ref="D127:E127"/>
    <mergeCell ref="G127:I127"/>
    <mergeCell ref="A124:C124"/>
    <mergeCell ref="D124:E124"/>
    <mergeCell ref="G124:I124"/>
    <mergeCell ref="A125:C125"/>
    <mergeCell ref="D125:E125"/>
    <mergeCell ref="G125:I125"/>
    <mergeCell ref="A130:C130"/>
    <mergeCell ref="D130:E130"/>
    <mergeCell ref="G130:I130"/>
    <mergeCell ref="A131:C131"/>
    <mergeCell ref="D131:E131"/>
    <mergeCell ref="G131:I131"/>
    <mergeCell ref="A128:C128"/>
    <mergeCell ref="D128:E128"/>
    <mergeCell ref="G128:I128"/>
    <mergeCell ref="A129:C129"/>
    <mergeCell ref="D129:E129"/>
    <mergeCell ref="G129:I129"/>
    <mergeCell ref="A134:C134"/>
    <mergeCell ref="D134:E134"/>
    <mergeCell ref="G134:I134"/>
    <mergeCell ref="A135:C135"/>
    <mergeCell ref="D135:E135"/>
    <mergeCell ref="G135:I135"/>
    <mergeCell ref="A132:C132"/>
    <mergeCell ref="D132:E132"/>
    <mergeCell ref="G132:I132"/>
    <mergeCell ref="A133:C133"/>
    <mergeCell ref="D133:E133"/>
    <mergeCell ref="G133:I133"/>
    <mergeCell ref="A138:C138"/>
    <mergeCell ref="D138:E138"/>
    <mergeCell ref="G138:I138"/>
    <mergeCell ref="B140:H140"/>
    <mergeCell ref="K142:L142"/>
    <mergeCell ref="E143:G143"/>
    <mergeCell ref="A136:C136"/>
    <mergeCell ref="D136:E136"/>
    <mergeCell ref="G136:I136"/>
    <mergeCell ref="A137:C137"/>
    <mergeCell ref="D137:E137"/>
    <mergeCell ref="G137:I137"/>
  </mergeCells>
  <pageMargins left="0.19666667282581299" right="0.19666667282581299" top="0.20000000298023199" bottom="0.20000000298023199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5</vt:i4>
      </vt:variant>
    </vt:vector>
  </HeadingPairs>
  <TitlesOfParts>
    <vt:vector size="17" baseType="lpstr">
      <vt:lpstr>Orientações Iniciais</vt:lpstr>
      <vt:lpstr>Indicadores e Metas</vt:lpstr>
      <vt:lpstr>Quadro Geral</vt:lpstr>
      <vt:lpstr>Fontes </vt:lpstr>
      <vt:lpstr>Limites Estratégicos</vt:lpstr>
      <vt:lpstr>Validação de dados</vt:lpstr>
      <vt:lpstr>Diretrizes - Resumo</vt:lpstr>
      <vt:lpstr>Matriz de Obj. Estrat.</vt:lpstr>
      <vt:lpstr>BALANÇO</vt:lpstr>
      <vt:lpstr>FONTES REPROG</vt:lpstr>
      <vt:lpstr>RECEITAS</vt:lpstr>
      <vt:lpstr>EXEC CC</vt:lpstr>
      <vt:lpstr>'Fontes '!Area_de_impressao</vt:lpstr>
      <vt:lpstr>'FONTES REPROG'!Area_de_impressao</vt:lpstr>
      <vt:lpstr>'Indicadores e Metas'!Area_de_impressao</vt:lpstr>
      <vt:lpstr>'Matriz de Obj. Estrat.'!Area_de_impressao</vt:lpstr>
      <vt:lpstr>'Quadro Geral'!Area_de_impressao</vt:lpstr>
    </vt:vector>
  </TitlesOfParts>
  <Manager>Luiz Antonio Poletto</Manager>
  <Company>CAU/BR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Programação 2022</dc:subject>
  <dc:creator>GERPLAN-CAU/BR</dc:creator>
  <cp:lastModifiedBy>Cause-Levono</cp:lastModifiedBy>
  <cp:lastPrinted>2019-08-16T19:30:06Z</cp:lastPrinted>
  <dcterms:created xsi:type="dcterms:W3CDTF">2013-07-30T15:20:59Z</dcterms:created>
  <dcterms:modified xsi:type="dcterms:W3CDTF">2023-03-31T11:55:55Z</dcterms:modified>
</cp:coreProperties>
</file>