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Cause-Levono\Documents\TELETRABALHO MAC-20220408T123749Z-001\TELETRABALHO MAC\Relatorio de Gestão\Análise 01\"/>
    </mc:Choice>
  </mc:AlternateContent>
  <xr:revisionPtr revIDLastSave="0" documentId="13_ncr:1_{360A29CF-0D06-4169-8E69-3CB313F9525E}" xr6:coauthVersionLast="47" xr6:coauthVersionMax="47" xr10:uidLastSave="{00000000-0000-0000-0000-000000000000}"/>
  <bookViews>
    <workbookView xWindow="-108" yWindow="-108" windowWidth="23256" windowHeight="12576" tabRatio="884" activeTab="1" xr2:uid="{00000000-000D-0000-FFFF-FFFF00000000}"/>
  </bookViews>
  <sheets>
    <sheet name="Orientações Iniciais" sheetId="42" r:id="rId1"/>
    <sheet name="Indicadores e Metas" sheetId="39" r:id="rId2"/>
    <sheet name="Quadro Geral" sheetId="15" r:id="rId3"/>
    <sheet name="Fontes " sheetId="8" r:id="rId4"/>
    <sheet name="Limites Estratégicos" sheetId="23" r:id="rId5"/>
    <sheet name="Validação de dados" sheetId="31" state="hidden" r:id="rId6"/>
    <sheet name="Diretrizes - Resumo" sheetId="40" state="hidden" r:id="rId7"/>
    <sheet name="Matriz de Obj. Estrat." sheetId="41" r:id="rId8"/>
    <sheet name="Balanço Orçamentário" sheetId="45" r:id="rId9"/>
    <sheet name="Empenhos e Pagamentos" sheetId="49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_xlfn_IFERROR">#N/A</definedName>
    <definedName name="_xlnm._FilterDatabase" localSheetId="6" hidden="1">'Diretrizes - Resumo'!$A$3:$V$30</definedName>
    <definedName name="_xlnm._FilterDatabase" localSheetId="9" hidden="1">'Empenhos e Pagamentos'!$A$20:$T$439</definedName>
    <definedName name="_xlnm._FilterDatabase" localSheetId="1" hidden="1">'Indicadores e Metas'!$A$28:$S$100</definedName>
    <definedName name="_xlnm._FilterDatabase" localSheetId="2" hidden="1">'Quadro Geral'!$A$6:$AI$26</definedName>
    <definedName name="A" localSheetId="6">#REF!</definedName>
    <definedName name="A" localSheetId="1">#REF!</definedName>
    <definedName name="A" localSheetId="7">#REF!</definedName>
    <definedName name="A" localSheetId="0">#REF!</definedName>
    <definedName name="A" localSheetId="2">#REF!</definedName>
    <definedName name="A">#REF!</definedName>
    <definedName name="Anexo" localSheetId="1">#REF!</definedName>
    <definedName name="Anexo" localSheetId="7">#REF!</definedName>
    <definedName name="Anexo">#REF!</definedName>
    <definedName name="Anexo_1.4.4" localSheetId="1">#REF!</definedName>
    <definedName name="Anexo_1.4.4" localSheetId="7">#REF!</definedName>
    <definedName name="Anexo_1.4.4">#REF!</definedName>
    <definedName name="ar">#N/A</definedName>
    <definedName name="_xlnm.Print_Area" localSheetId="3">'Fontes '!$A$1:$E$24</definedName>
    <definedName name="_xlnm.Print_Area" localSheetId="1">'Indicadores e Metas'!$A$1:$G$105</definedName>
    <definedName name="_xlnm.Print_Area" localSheetId="7">'Matriz de Obj. Estrat.'!$A$1:$K$19</definedName>
    <definedName name="_xlnm.Print_Area" localSheetId="2">'Quadro Geral'!$A$1:$I$28</definedName>
    <definedName name="asas" localSheetId="1">#REF!</definedName>
    <definedName name="asas" localSheetId="7">#REF!</definedName>
    <definedName name="asas">#REF!</definedName>
    <definedName name="ass" localSheetId="1">#REF!</definedName>
    <definedName name="ass" localSheetId="7">#REF!</definedName>
    <definedName name="ass">#REF!</definedName>
    <definedName name="_xlnm.Database" localSheetId="6">#REF!</definedName>
    <definedName name="_xlnm.Database" localSheetId="1">#REF!</definedName>
    <definedName name="_xlnm.Database" localSheetId="7">#REF!</definedName>
    <definedName name="_xlnm.Database" localSheetId="0">#REF!</definedName>
    <definedName name="_xlnm.Database" localSheetId="2">#REF!</definedName>
    <definedName name="_xlnm.Database">#REF!</definedName>
    <definedName name="banco_de_dados_sym" localSheetId="6">#REF!</definedName>
    <definedName name="banco_de_dados_sym" localSheetId="1">#REF!</definedName>
    <definedName name="banco_de_dados_sym" localSheetId="7">#REF!</definedName>
    <definedName name="banco_de_dados_sym">#REF!</definedName>
    <definedName name="Copia" localSheetId="1">#REF!</definedName>
    <definedName name="Copia" localSheetId="7">#REF!</definedName>
    <definedName name="Copia">#REF!</definedName>
    <definedName name="copia2" localSheetId="1">#REF!</definedName>
    <definedName name="copia2" localSheetId="7">#REF!</definedName>
    <definedName name="copia2">#REF!</definedName>
    <definedName name="_xlnm.Criteria" localSheetId="1">#REF!</definedName>
    <definedName name="_xlnm.Criteria" localSheetId="7">#REF!</definedName>
    <definedName name="_xlnm.Criteria">#REF!</definedName>
    <definedName name="dados" localSheetId="1">#REF!</definedName>
    <definedName name="dados" localSheetId="7">#REF!</definedName>
    <definedName name="dados">#REF!</definedName>
    <definedName name="Database" localSheetId="7">#REF!</definedName>
    <definedName name="Database">#REF!</definedName>
    <definedName name="DEZEMBRO" localSheetId="7">#REF!</definedName>
    <definedName name="DEZEMBRO">#REF!</definedName>
    <definedName name="huala" localSheetId="1">#REF!</definedName>
    <definedName name="huala" localSheetId="7">#REF!</definedName>
    <definedName name="huala">#REF!</definedName>
    <definedName name="kk" localSheetId="1">#REF!</definedName>
    <definedName name="kk" localSheetId="7">#REF!</definedName>
    <definedName name="kk">#REF!</definedName>
    <definedName name="Percentual5" localSheetId="6">'[1]Estudos - Receita'!$XFB$1:$XFB$20</definedName>
    <definedName name="Percentual5">'[2]Estudos - Receita'!$XFB$1:$XFB$20</definedName>
    <definedName name="PJ2anos" localSheetId="6">'[1]Estudos - Quant. PJ'!$K:$O,'[1]Estudos - Quant. PJ'!$J$2</definedName>
    <definedName name="PJ2anos">'[2]Estudos - Quant. PJ'!$K:$O,'[2]Estudos - Quant. PJ'!$J$2</definedName>
    <definedName name="PREs">#N/A</definedName>
    <definedName name="Presid">#N/A</definedName>
    <definedName name="X" localSheetId="7">#REF!</definedName>
    <definedName name="X">#REF!</definedName>
    <definedName name="XFE1048575" localSheetId="6">#REF!</definedName>
    <definedName name="XFE1048575" localSheetId="1">#REF!</definedName>
    <definedName name="XFE1048575" localSheetId="7">#REF!</definedName>
    <definedName name="XFE1048575">#REF!</definedName>
    <definedName name="XFe1048576" localSheetId="6">#REF!</definedName>
    <definedName name="XFe1048576" localSheetId="1">#REF!</definedName>
    <definedName name="XFe1048576" localSheetId="7">#REF!</definedName>
    <definedName name="XFe1048576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" i="23" l="1"/>
  <c r="M7" i="23"/>
  <c r="N4" i="23"/>
  <c r="Q4" i="23" s="1"/>
  <c r="F22" i="23"/>
  <c r="F16" i="23"/>
  <c r="F14" i="23"/>
  <c r="E8" i="8" l="1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7" i="8"/>
  <c r="D25" i="8"/>
  <c r="C25" i="8"/>
  <c r="E7" i="23"/>
  <c r="H7" i="23" s="1"/>
  <c r="D7" i="23"/>
  <c r="G7" i="23" s="1"/>
  <c r="G76" i="39"/>
  <c r="G71" i="39"/>
  <c r="G69" i="39"/>
  <c r="G15" i="39"/>
  <c r="G6" i="39"/>
  <c r="Q20" i="15"/>
  <c r="L18" i="15"/>
  <c r="H87" i="39" l="1"/>
  <c r="I84" i="39"/>
  <c r="I82" i="39"/>
  <c r="I80" i="39"/>
  <c r="I73" i="39" l="1"/>
  <c r="I71" i="39"/>
  <c r="I69" i="39"/>
  <c r="L69" i="39"/>
  <c r="I6" i="39" l="1"/>
  <c r="I15" i="39"/>
  <c r="P5" i="23" l="1"/>
  <c r="P4" i="23"/>
  <c r="G22" i="8"/>
  <c r="G23" i="8"/>
  <c r="P8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7" i="15"/>
  <c r="L8" i="15"/>
  <c r="L9" i="15"/>
  <c r="L10" i="15"/>
  <c r="L11" i="15"/>
  <c r="L12" i="15"/>
  <c r="L13" i="15"/>
  <c r="L14" i="15"/>
  <c r="L15" i="15"/>
  <c r="L16" i="15"/>
  <c r="L17" i="15"/>
  <c r="L19" i="15"/>
  <c r="L20" i="15"/>
  <c r="L21" i="15"/>
  <c r="L22" i="15"/>
  <c r="L23" i="15"/>
  <c r="L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7" i="15"/>
  <c r="H103" i="39"/>
  <c r="H101" i="39"/>
  <c r="H98" i="39"/>
  <c r="H97" i="39"/>
  <c r="H94" i="39"/>
  <c r="H89" i="39"/>
  <c r="H91" i="39"/>
  <c r="H82" i="39"/>
  <c r="H84" i="39"/>
  <c r="H76" i="39"/>
  <c r="H69" i="39"/>
  <c r="H71" i="39"/>
  <c r="H73" i="39"/>
  <c r="H64" i="39"/>
  <c r="H66" i="39"/>
  <c r="H62" i="39"/>
  <c r="H60" i="39"/>
  <c r="H58" i="39"/>
  <c r="H56" i="39"/>
  <c r="H55" i="39"/>
  <c r="H52" i="39"/>
  <c r="H50" i="39"/>
  <c r="H48" i="39"/>
  <c r="H41" i="39"/>
  <c r="H43" i="39"/>
  <c r="H45" i="39"/>
  <c r="H39" i="39"/>
  <c r="H34" i="39"/>
  <c r="H36" i="39"/>
  <c r="H32" i="39"/>
  <c r="H13" i="39"/>
  <c r="H15" i="39"/>
  <c r="H17" i="39"/>
  <c r="H19" i="39"/>
  <c r="H21" i="39"/>
  <c r="H23" i="39"/>
  <c r="H25" i="39"/>
  <c r="H27" i="39"/>
  <c r="H29" i="39"/>
  <c r="H11" i="39"/>
  <c r="H6" i="39"/>
  <c r="G34" i="39" l="1"/>
  <c r="G103" i="39"/>
  <c r="G43" i="39"/>
  <c r="G41" i="39"/>
  <c r="G80" i="39"/>
  <c r="G64" i="39" l="1"/>
  <c r="G62" i="39"/>
  <c r="G52" i="39"/>
  <c r="G36" i="39"/>
  <c r="G94" i="39" l="1"/>
  <c r="O32" i="45"/>
  <c r="O24" i="45"/>
  <c r="G98" i="39" l="1"/>
  <c r="G78" i="39"/>
  <c r="G73" i="39"/>
  <c r="G29" i="39" l="1"/>
  <c r="G27" i="39"/>
  <c r="G25" i="39"/>
  <c r="G23" i="39"/>
  <c r="G21" i="39"/>
  <c r="G19" i="39"/>
  <c r="G17" i="39"/>
  <c r="G13" i="39"/>
  <c r="G11" i="39"/>
  <c r="N5" i="23" l="1"/>
  <c r="D19" i="23" l="1"/>
  <c r="G19" i="23" s="1"/>
  <c r="H13" i="15" l="1"/>
  <c r="R13" i="15" s="1"/>
  <c r="H12" i="15"/>
  <c r="R12" i="15" s="1"/>
  <c r="H10" i="15"/>
  <c r="R10" i="15" s="1"/>
  <c r="H7" i="15"/>
  <c r="R7" i="15" s="1"/>
  <c r="H23" i="15"/>
  <c r="R23" i="15" s="1"/>
  <c r="H14" i="15"/>
  <c r="R14" i="15" s="1"/>
  <c r="H15" i="15"/>
  <c r="R15" i="15" s="1"/>
  <c r="H8" i="15"/>
  <c r="R8" i="15" s="1"/>
  <c r="H21" i="15"/>
  <c r="R21" i="15" s="1"/>
  <c r="H22" i="15"/>
  <c r="R22" i="15" s="1"/>
  <c r="H20" i="15"/>
  <c r="N13" i="23" s="1"/>
  <c r="H19" i="15"/>
  <c r="H17" i="15"/>
  <c r="R17" i="15" s="1"/>
  <c r="H9" i="15"/>
  <c r="R9" i="15" s="1"/>
  <c r="H16" i="15"/>
  <c r="R16" i="15" s="1"/>
  <c r="H11" i="15"/>
  <c r="R11" i="15" s="1"/>
  <c r="D17" i="23"/>
  <c r="G17" i="23" s="1"/>
  <c r="G15" i="15"/>
  <c r="Q15" i="15" s="1"/>
  <c r="G16" i="15"/>
  <c r="Q16" i="15" s="1"/>
  <c r="G17" i="15"/>
  <c r="Q17" i="15" s="1"/>
  <c r="G19" i="15"/>
  <c r="G20" i="15"/>
  <c r="G21" i="15"/>
  <c r="Q21" i="15" s="1"/>
  <c r="G22" i="15"/>
  <c r="Q22" i="15" s="1"/>
  <c r="G23" i="15"/>
  <c r="Q23" i="15" s="1"/>
  <c r="G14" i="15"/>
  <c r="Q14" i="15" s="1"/>
  <c r="G13" i="15"/>
  <c r="Q13" i="15" s="1"/>
  <c r="G12" i="15"/>
  <c r="G11" i="15"/>
  <c r="Q11" i="15" s="1"/>
  <c r="G10" i="15"/>
  <c r="Q10" i="15" s="1"/>
  <c r="G9" i="15"/>
  <c r="G8" i="15"/>
  <c r="Q8" i="15" s="1"/>
  <c r="G7" i="15"/>
  <c r="Q7" i="15" s="1"/>
  <c r="D17" i="8"/>
  <c r="D19" i="8"/>
  <c r="H19" i="8" s="1"/>
  <c r="C19" i="8"/>
  <c r="G19" i="8" s="1"/>
  <c r="C17" i="8"/>
  <c r="G17" i="8" s="1"/>
  <c r="C20" i="8"/>
  <c r="G20" i="8" s="1"/>
  <c r="C18" i="8"/>
  <c r="G18" i="8" s="1"/>
  <c r="C16" i="8"/>
  <c r="G16" i="8" s="1"/>
  <c r="C15" i="8"/>
  <c r="G15" i="8" s="1"/>
  <c r="C14" i="8"/>
  <c r="G14" i="8" s="1"/>
  <c r="C12" i="8"/>
  <c r="G12" i="8" s="1"/>
  <c r="C11" i="8"/>
  <c r="G11" i="8" s="1"/>
  <c r="D11" i="23" l="1"/>
  <c r="G11" i="23" s="1"/>
  <c r="Q12" i="15"/>
  <c r="D15" i="23"/>
  <c r="G15" i="23" s="1"/>
  <c r="Q9" i="15"/>
  <c r="M13" i="23"/>
  <c r="P13" i="23" s="1"/>
  <c r="R20" i="15"/>
  <c r="E23" i="23"/>
  <c r="R19" i="15"/>
  <c r="D23" i="23"/>
  <c r="G23" i="23" s="1"/>
  <c r="Q19" i="15"/>
  <c r="D13" i="23"/>
  <c r="G13" i="23" s="1"/>
  <c r="D21" i="23"/>
  <c r="G21" i="23" s="1"/>
  <c r="E21" i="23"/>
  <c r="H21" i="23" s="1"/>
  <c r="E15" i="23"/>
  <c r="E19" i="23"/>
  <c r="F19" i="23" s="1"/>
  <c r="E13" i="23"/>
  <c r="E11" i="23"/>
  <c r="D20" i="8"/>
  <c r="H20" i="8" s="1"/>
  <c r="D18" i="8"/>
  <c r="D16" i="8"/>
  <c r="D15" i="8"/>
  <c r="D14" i="8"/>
  <c r="D12" i="8"/>
  <c r="D11" i="8"/>
  <c r="G24" i="15"/>
  <c r="H24" i="15"/>
  <c r="F24" i="15"/>
  <c r="F25" i="15" s="1"/>
  <c r="F17" i="23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F7" i="23"/>
  <c r="I7" i="15"/>
  <c r="O13" i="23"/>
  <c r="O5" i="23"/>
  <c r="O4" i="23"/>
  <c r="F11" i="23" l="1"/>
  <c r="F23" i="23"/>
  <c r="F15" i="23"/>
  <c r="H16" i="8"/>
  <c r="N32" i="45"/>
  <c r="H18" i="8"/>
  <c r="N41" i="45"/>
  <c r="I24" i="15"/>
  <c r="H25" i="15"/>
  <c r="F21" i="23"/>
  <c r="F13" i="23"/>
  <c r="A1" i="8"/>
  <c r="D5" i="40"/>
  <c r="G5" i="40"/>
  <c r="D6" i="40"/>
  <c r="D7" i="40"/>
  <c r="G7" i="40"/>
  <c r="D8" i="40"/>
  <c r="G8" i="40"/>
  <c r="D9" i="40"/>
  <c r="G9" i="40"/>
  <c r="D10" i="40"/>
  <c r="D11" i="40"/>
  <c r="D12" i="40"/>
  <c r="G12" i="40"/>
  <c r="D13" i="40"/>
  <c r="G13" i="40"/>
  <c r="D14" i="40"/>
  <c r="D15" i="40"/>
  <c r="D16" i="40"/>
  <c r="G16" i="40"/>
  <c r="D17" i="40"/>
  <c r="G17" i="40"/>
  <c r="D18" i="40"/>
  <c r="D19" i="40"/>
  <c r="D20" i="40"/>
  <c r="G20" i="40"/>
  <c r="D21" i="40"/>
  <c r="G21" i="40"/>
  <c r="D22" i="40"/>
  <c r="D23" i="40"/>
  <c r="D24" i="40"/>
  <c r="G24" i="40"/>
  <c r="D25" i="40"/>
  <c r="G25" i="40"/>
  <c r="D26" i="40"/>
  <c r="D27" i="40"/>
  <c r="D28" i="40"/>
  <c r="G28" i="40"/>
  <c r="D29" i="40"/>
  <c r="G29" i="40"/>
  <c r="D30" i="40"/>
  <c r="AK2" i="40"/>
  <c r="AK27" i="40" s="1"/>
  <c r="C32" i="40"/>
  <c r="D32" i="40" s="1"/>
  <c r="E32" i="40" s="1"/>
  <c r="F32" i="40" s="1"/>
  <c r="G32" i="40" s="1"/>
  <c r="H32" i="40" s="1"/>
  <c r="I32" i="40" s="1"/>
  <c r="J32" i="40" s="1"/>
  <c r="K32" i="40" s="1"/>
  <c r="L32" i="40" s="1"/>
  <c r="M32" i="40" s="1"/>
  <c r="N32" i="40" s="1"/>
  <c r="O32" i="40" s="1"/>
  <c r="P32" i="40" s="1"/>
  <c r="Q32" i="40" s="1"/>
  <c r="R32" i="40" s="1"/>
  <c r="S32" i="40" s="1"/>
  <c r="T32" i="40" s="1"/>
  <c r="U32" i="40" s="1"/>
  <c r="V32" i="40" s="1"/>
  <c r="W32" i="40" s="1"/>
  <c r="X32" i="40" s="1"/>
  <c r="Y32" i="40" s="1"/>
  <c r="Z32" i="40" s="1"/>
  <c r="AA32" i="40" s="1"/>
  <c r="AB32" i="40" s="1"/>
  <c r="AC32" i="40" s="1"/>
  <c r="AD32" i="40" s="1"/>
  <c r="AE32" i="40" s="1"/>
  <c r="AF32" i="40" s="1"/>
  <c r="AG32" i="40" s="1"/>
  <c r="AH32" i="40" s="1"/>
  <c r="C4" i="41"/>
  <c r="D4" i="41"/>
  <c r="E4" i="41"/>
  <c r="F4" i="41"/>
  <c r="G4" i="41"/>
  <c r="H4" i="41"/>
  <c r="C5" i="41"/>
  <c r="D5" i="41"/>
  <c r="E5" i="41"/>
  <c r="F5" i="41"/>
  <c r="G5" i="41"/>
  <c r="H5" i="41"/>
  <c r="C6" i="41"/>
  <c r="D6" i="41"/>
  <c r="E6" i="41"/>
  <c r="F6" i="41"/>
  <c r="G6" i="41"/>
  <c r="H6" i="41"/>
  <c r="C7" i="41"/>
  <c r="D7" i="41"/>
  <c r="E7" i="41"/>
  <c r="F7" i="41"/>
  <c r="G7" i="41"/>
  <c r="H7" i="41"/>
  <c r="C8" i="41"/>
  <c r="D8" i="41"/>
  <c r="E8" i="41"/>
  <c r="F8" i="41"/>
  <c r="G8" i="41"/>
  <c r="H8" i="41"/>
  <c r="C9" i="41"/>
  <c r="D9" i="41"/>
  <c r="E9" i="41"/>
  <c r="F9" i="41"/>
  <c r="G9" i="41"/>
  <c r="H9" i="41"/>
  <c r="C10" i="41"/>
  <c r="D10" i="41"/>
  <c r="E10" i="41"/>
  <c r="F10" i="41"/>
  <c r="G10" i="41"/>
  <c r="H10" i="41"/>
  <c r="C11" i="41"/>
  <c r="D11" i="41"/>
  <c r="E11" i="41"/>
  <c r="F11" i="41"/>
  <c r="G11" i="41"/>
  <c r="H11" i="41"/>
  <c r="C12" i="41"/>
  <c r="D12" i="41"/>
  <c r="E12" i="41"/>
  <c r="F12" i="41"/>
  <c r="G12" i="41"/>
  <c r="H12" i="41"/>
  <c r="C13" i="41"/>
  <c r="D13" i="41"/>
  <c r="E13" i="41"/>
  <c r="F13" i="41"/>
  <c r="G13" i="41"/>
  <c r="H13" i="41"/>
  <c r="C14" i="41"/>
  <c r="D14" i="41"/>
  <c r="E14" i="41"/>
  <c r="F14" i="41"/>
  <c r="G14" i="41"/>
  <c r="H14" i="41"/>
  <c r="C15" i="41"/>
  <c r="D15" i="41"/>
  <c r="E15" i="41"/>
  <c r="F15" i="41"/>
  <c r="G15" i="41"/>
  <c r="H15" i="41"/>
  <c r="C16" i="41"/>
  <c r="D16" i="41"/>
  <c r="E16" i="41"/>
  <c r="F16" i="41"/>
  <c r="G16" i="41"/>
  <c r="H16" i="41"/>
  <c r="C17" i="41"/>
  <c r="D17" i="41"/>
  <c r="E17" i="41"/>
  <c r="F17" i="41"/>
  <c r="G17" i="41"/>
  <c r="H17" i="41"/>
  <c r="C18" i="41"/>
  <c r="D18" i="41"/>
  <c r="E18" i="41"/>
  <c r="F18" i="41"/>
  <c r="G18" i="41"/>
  <c r="H18" i="41"/>
  <c r="H3" i="41"/>
  <c r="G3" i="41"/>
  <c r="F3" i="41"/>
  <c r="E3" i="41"/>
  <c r="D3" i="41"/>
  <c r="C3" i="41"/>
  <c r="I4" i="41"/>
  <c r="G30" i="40" l="1"/>
  <c r="G26" i="40"/>
  <c r="G22" i="40"/>
  <c r="G18" i="40"/>
  <c r="G14" i="40"/>
  <c r="G10" i="40"/>
  <c r="G6" i="40"/>
  <c r="G27" i="40"/>
  <c r="G23" i="40"/>
  <c r="G19" i="40"/>
  <c r="G15" i="40"/>
  <c r="G11" i="40"/>
  <c r="J9" i="41"/>
  <c r="I7" i="41"/>
  <c r="J5" i="41"/>
  <c r="H11" i="23" s="1"/>
  <c r="J15" i="41"/>
  <c r="J17" i="41"/>
  <c r="J13" i="41"/>
  <c r="J11" i="41"/>
  <c r="J7" i="41"/>
  <c r="I8" i="41"/>
  <c r="I11" i="41"/>
  <c r="I12" i="41"/>
  <c r="I16" i="41"/>
  <c r="I15" i="41"/>
  <c r="I9" i="41"/>
  <c r="I5" i="41"/>
  <c r="I13" i="41"/>
  <c r="I14" i="41"/>
  <c r="I10" i="41"/>
  <c r="I6" i="41"/>
  <c r="I18" i="41"/>
  <c r="J18" i="41"/>
  <c r="J16" i="41"/>
  <c r="Q13" i="23" s="1"/>
  <c r="J14" i="41"/>
  <c r="J12" i="41"/>
  <c r="J10" i="41"/>
  <c r="J8" i="41"/>
  <c r="J6" i="41"/>
  <c r="H13" i="23" s="1"/>
  <c r="J4" i="41"/>
  <c r="I17" i="41"/>
  <c r="J3" i="41"/>
  <c r="I3" i="41"/>
  <c r="D19" i="41"/>
  <c r="C19" i="41"/>
  <c r="H19" i="23" l="1"/>
  <c r="H15" i="23"/>
  <c r="F19" i="41"/>
  <c r="E19" i="41"/>
  <c r="I19" i="41" l="1"/>
  <c r="J19" i="41"/>
  <c r="G19" i="41"/>
  <c r="H19" i="41"/>
  <c r="AK22" i="40"/>
  <c r="AK23" i="40"/>
  <c r="AK24" i="40"/>
  <c r="AK21" i="40"/>
  <c r="AK20" i="40"/>
  <c r="K3" i="41" l="1"/>
  <c r="K5" i="41"/>
  <c r="K18" i="41"/>
  <c r="K10" i="41"/>
  <c r="K16" i="41"/>
  <c r="K4" i="41"/>
  <c r="K12" i="41"/>
  <c r="K13" i="41"/>
  <c r="K6" i="41"/>
  <c r="K8" i="41"/>
  <c r="K17" i="41"/>
  <c r="K9" i="41"/>
  <c r="K7" i="41"/>
  <c r="K11" i="41"/>
  <c r="K14" i="41"/>
  <c r="K15" i="41"/>
  <c r="K19" i="41" l="1"/>
  <c r="AK10" i="40" l="1"/>
  <c r="AN9" i="40"/>
  <c r="AN6" i="40"/>
  <c r="AN7" i="40"/>
  <c r="AK16" i="40"/>
  <c r="AN3" i="40"/>
  <c r="AN5" i="40"/>
  <c r="AK15" i="40"/>
  <c r="AK19" i="40"/>
  <c r="AN8" i="40"/>
  <c r="G4" i="40" l="1"/>
  <c r="AK7" i="40"/>
  <c r="AK12" i="40"/>
  <c r="AK11" i="40"/>
  <c r="AK13" i="40"/>
  <c r="AK8" i="40"/>
  <c r="J6" i="40"/>
  <c r="J24" i="40"/>
  <c r="J8" i="40"/>
  <c r="J11" i="40"/>
  <c r="J25" i="40"/>
  <c r="J22" i="40"/>
  <c r="J9" i="40"/>
  <c r="D4" i="40"/>
  <c r="J4" i="40" s="1"/>
  <c r="J29" i="40"/>
  <c r="J23" i="40"/>
  <c r="J17" i="40"/>
  <c r="J7" i="40"/>
  <c r="J5" i="40"/>
  <c r="J27" i="40"/>
  <c r="J19" i="40"/>
  <c r="J18" i="40"/>
  <c r="J16" i="40"/>
  <c r="J15" i="40"/>
  <c r="J13" i="40"/>
  <c r="J12" i="40"/>
  <c r="J10" i="40"/>
  <c r="J21" i="40"/>
  <c r="J20" i="40"/>
  <c r="AN4" i="40"/>
  <c r="J30" i="40"/>
  <c r="AK9" i="40" l="1"/>
  <c r="AK6" i="40"/>
  <c r="AK5" i="40" s="1"/>
  <c r="AK4" i="40" s="1"/>
  <c r="AK3" i="40" s="1"/>
  <c r="J28" i="40"/>
  <c r="J26" i="40"/>
  <c r="J14" i="40"/>
  <c r="M14" i="23" l="1"/>
  <c r="P14" i="23" s="1"/>
  <c r="M11" i="23"/>
  <c r="P11" i="23" s="1"/>
  <c r="D10" i="8"/>
  <c r="G25" i="15"/>
  <c r="J20" i="41" l="1"/>
  <c r="J21" i="41" s="1"/>
  <c r="A1" i="15" l="1"/>
  <c r="E5" i="23" l="1"/>
  <c r="H5" i="23" s="1"/>
  <c r="D5" i="23"/>
  <c r="G5" i="23" s="1"/>
  <c r="D21" i="8"/>
  <c r="D13" i="8"/>
  <c r="F5" i="23" l="1"/>
  <c r="D9" i="8"/>
  <c r="H9" i="8" l="1"/>
  <c r="N23" i="45"/>
  <c r="D8" i="8"/>
  <c r="C21" i="8"/>
  <c r="C13" i="8"/>
  <c r="G21" i="8" l="1"/>
  <c r="G13" i="8"/>
  <c r="E4" i="23"/>
  <c r="H4" i="23" s="1"/>
  <c r="D7" i="8"/>
  <c r="H7" i="8" l="1"/>
  <c r="I76" i="39"/>
  <c r="D24" i="8"/>
  <c r="N6" i="23"/>
  <c r="I78" i="39" s="1"/>
  <c r="N14" i="23"/>
  <c r="O14" i="23" s="1"/>
  <c r="N11" i="23"/>
  <c r="O11" i="23" s="1"/>
  <c r="F19" i="8" l="1"/>
  <c r="H24" i="8"/>
  <c r="F21" i="8"/>
  <c r="F22" i="8"/>
  <c r="F13" i="8"/>
  <c r="F20" i="8"/>
  <c r="F12" i="8"/>
  <c r="F17" i="8"/>
  <c r="F8" i="8"/>
  <c r="F10" i="8"/>
  <c r="F18" i="8"/>
  <c r="F15" i="8"/>
  <c r="F9" i="8"/>
  <c r="F24" i="8"/>
  <c r="F16" i="8"/>
  <c r="F23" i="8"/>
  <c r="F11" i="8"/>
  <c r="F14" i="8"/>
  <c r="N12" i="23"/>
  <c r="C10" i="8" l="1"/>
  <c r="G10" i="8" l="1"/>
  <c r="C9" i="8"/>
  <c r="G9" i="8" l="1"/>
  <c r="C8" i="8"/>
  <c r="G8" i="8" l="1"/>
  <c r="D4" i="23"/>
  <c r="C7" i="8"/>
  <c r="E6" i="23"/>
  <c r="G7" i="8" l="1"/>
  <c r="F4" i="23"/>
  <c r="G4" i="23"/>
  <c r="D6" i="23"/>
  <c r="G6" i="23" s="1"/>
  <c r="M6" i="23"/>
  <c r="C24" i="8"/>
  <c r="E8" i="23"/>
  <c r="F7" i="8"/>
  <c r="G24" i="8" l="1"/>
  <c r="D8" i="23"/>
  <c r="G8" i="23" s="1"/>
  <c r="O6" i="23"/>
  <c r="P6" i="23"/>
  <c r="F6" i="23"/>
  <c r="M12" i="23"/>
  <c r="E20" i="23"/>
  <c r="E16" i="23"/>
  <c r="E22" i="23"/>
  <c r="E12" i="23"/>
  <c r="E24" i="23"/>
  <c r="E14" i="23"/>
  <c r="E18" i="23"/>
  <c r="D12" i="23" l="1"/>
  <c r="G12" i="23" s="1"/>
  <c r="D22" i="23"/>
  <c r="G22" i="23" s="1"/>
  <c r="F8" i="23"/>
  <c r="D20" i="23"/>
  <c r="G20" i="23" s="1"/>
  <c r="D24" i="23"/>
  <c r="G24" i="23" s="1"/>
  <c r="D14" i="23"/>
  <c r="G14" i="23" s="1"/>
  <c r="O12" i="23"/>
  <c r="P12" i="23"/>
  <c r="D18" i="23"/>
  <c r="G18" i="23" s="1"/>
  <c r="D16" i="23"/>
  <c r="G16" i="23" s="1"/>
  <c r="F24" i="23" l="1"/>
  <c r="F12" i="23"/>
  <c r="F20" i="23"/>
  <c r="F18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Tania Mara Chaves Daldegan</author>
  </authors>
  <commentList>
    <comment ref="D5" authorId="0" shapeId="0" xr:uid="{00000000-0006-0000-0100-000001000000}">
      <text>
        <r>
          <rPr>
            <b/>
            <sz val="9"/>
            <color rgb="FF000000"/>
            <rFont val="Segoe UI"/>
            <family val="2"/>
            <charset val="1"/>
          </rPr>
          <t>Utilizar a informação do Relatório de Gestão - Exercício 2019</t>
        </r>
      </text>
    </comment>
    <comment ref="E5" authorId="0" shapeId="0" xr:uid="{00000000-0006-0000-0100-000002000000}">
      <text>
        <r>
          <rPr>
            <b/>
            <sz val="9"/>
            <color rgb="FF000000"/>
            <rFont val="Segoe UI"/>
            <family val="2"/>
            <charset val="1"/>
          </rPr>
          <t>Utilizar a informação do Relatório de Gestão - Exercício 2020</t>
        </r>
      </text>
    </comment>
    <comment ref="F5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Utilizar a informação do Parecer da Reprogramação 2021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6" authorId="0" shapeId="0" xr:uid="{B8341A7F-5971-4208-BBE2-2744DC4BC494}">
      <text>
        <r>
          <rPr>
            <b/>
            <sz val="11"/>
            <color indexed="81"/>
            <rFont val="Segoe UI"/>
            <family val="2"/>
          </rPr>
          <t>Qual a fonte dos dados? Verificar e analisar os dado na lateral da planilha. Caso concorde, ajustar</t>
        </r>
      </text>
    </comment>
    <comment ref="D10" authorId="0" shapeId="0" xr:uid="{00000000-0006-0000-0100-000004000000}">
      <text>
        <r>
          <rPr>
            <b/>
            <sz val="9"/>
            <color rgb="FF000000"/>
            <rFont val="Segoe UI"/>
            <family val="2"/>
            <charset val="1"/>
          </rPr>
          <t>Utilizar a informação do Relatório de Gestão - Exercício 2019</t>
        </r>
      </text>
    </comment>
    <comment ref="E10" authorId="0" shapeId="0" xr:uid="{00000000-0006-0000-0100-000005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G15" authorId="0" shapeId="0" xr:uid="{7E93ECF7-787A-4723-ADB8-FE361BD92279}">
      <text>
        <r>
          <rPr>
            <b/>
            <sz val="11"/>
            <color indexed="81"/>
            <rFont val="Segoe UI"/>
            <family val="2"/>
          </rPr>
          <t>São RRT pagos em 2021? Qual a fonte dos dados? Verificar e analisar os dado na lateral da planilha. Caso concorde, ajustar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D31" authorId="0" shapeId="0" xr:uid="{00000000-0006-0000-0100-000006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31" authorId="0" shapeId="0" xr:uid="{00000000-0006-0000-0100-000007000000}">
      <text>
        <r>
          <rPr>
            <b/>
            <sz val="9"/>
            <color rgb="FF000000"/>
            <rFont val="Segoe UI"/>
            <family val="2"/>
            <charset val="1"/>
          </rPr>
          <t>Utilizar a informação do Relatório de Gestão - Exercício 2020</t>
        </r>
      </text>
    </comment>
    <comment ref="D38" authorId="0" shapeId="0" xr:uid="{00000000-0006-0000-0100-000008000000}">
      <text>
        <r>
          <rPr>
            <b/>
            <sz val="9"/>
            <color rgb="FF000000"/>
            <rFont val="Segoe UI"/>
            <family val="2"/>
            <charset val="1"/>
          </rPr>
          <t>Utilizar a informação do Relatório de Gestão - Exercício 2019</t>
        </r>
      </text>
    </comment>
    <comment ref="E38" authorId="0" shapeId="0" xr:uid="{00000000-0006-0000-0100-000009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47" authorId="0" shapeId="0" xr:uid="{00000000-0006-0000-0100-00000A000000}">
      <text>
        <r>
          <rPr>
            <b/>
            <sz val="9"/>
            <color rgb="FF000000"/>
            <rFont val="Segoe UI"/>
            <family val="2"/>
            <charset val="1"/>
          </rPr>
          <t>Utilizar a informação do Relatório de Gestão - Exercício 2019</t>
        </r>
      </text>
    </comment>
    <comment ref="E47" authorId="0" shapeId="0" xr:uid="{00000000-0006-0000-0100-00000B000000}">
      <text>
        <r>
          <rPr>
            <b/>
            <sz val="9"/>
            <color rgb="FF000000"/>
            <rFont val="Segoe UI"/>
            <family val="2"/>
            <charset val="1"/>
          </rPr>
          <t>Utilizar a informação do Relatório de Gestão - Exercício 2020</t>
        </r>
      </text>
    </comment>
    <comment ref="D49" authorId="0" shapeId="0" xr:uid="{00000000-0006-0000-0100-00000C000000}">
      <text>
        <r>
          <rPr>
            <b/>
            <sz val="9"/>
            <color rgb="FF000000"/>
            <rFont val="Segoe UI"/>
            <family val="2"/>
            <charset val="1"/>
          </rPr>
          <t>Utilizar a informação do Relatório de Gestão - Exercício 2019</t>
        </r>
      </text>
    </comment>
    <comment ref="E49" authorId="0" shapeId="0" xr:uid="{00000000-0006-0000-0100-00000D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54" authorId="0" shapeId="0" xr:uid="{00000000-0006-0000-0100-00000E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54" authorId="0" shapeId="0" xr:uid="{00000000-0006-0000-0100-00000F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61" authorId="0" shapeId="0" xr:uid="{00000000-0006-0000-0100-000010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61" authorId="0" shapeId="0" xr:uid="{00000000-0006-0000-0100-000011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68" authorId="0" shapeId="0" xr:uid="{00000000-0006-0000-0100-000012000000}">
      <text>
        <r>
          <rPr>
            <b/>
            <sz val="9"/>
            <color rgb="FF000000"/>
            <rFont val="Segoe UI"/>
            <family val="2"/>
            <charset val="1"/>
          </rPr>
          <t>Utilizar a informação do Relatório de Gestão - Exercício 2019</t>
        </r>
      </text>
    </comment>
    <comment ref="E68" authorId="0" shapeId="0" xr:uid="{00000000-0006-0000-0100-000013000000}">
      <text>
        <r>
          <rPr>
            <b/>
            <sz val="9"/>
            <color rgb="FF000000"/>
            <rFont val="Segoe UI"/>
            <family val="2"/>
            <charset val="1"/>
          </rPr>
          <t>Utilizar a informação do Relatório de Gestão - Exercício 2020</t>
        </r>
      </text>
    </comment>
    <comment ref="G69" authorId="0" shapeId="0" xr:uid="{462D209C-F0A2-46C9-AFE2-6A6871A3026A}">
      <text>
        <r>
          <rPr>
            <b/>
            <sz val="11"/>
            <color indexed="81"/>
            <rFont val="Segoe UI"/>
            <family val="2"/>
          </rPr>
          <t>Qual a fonte dos dados? Verificar e analisar os dado na lateral da planilha. Caso concorde, ajustar</t>
        </r>
      </text>
    </comment>
    <comment ref="G71" authorId="0" shapeId="0" xr:uid="{669C6F21-959C-4696-B58B-70B57F55C5AA}">
      <text>
        <r>
          <rPr>
            <b/>
            <sz val="11"/>
            <color indexed="81"/>
            <rFont val="Segoe UI"/>
            <family val="2"/>
          </rPr>
          <t>Qual a fonte dos dados? Verificar e analisar os dado na lateral da planilha. Caso concorde, ajustar</t>
        </r>
      </text>
    </comment>
    <comment ref="G73" authorId="0" shapeId="0" xr:uid="{13726A1B-2BA5-4013-8DD1-D1A45860DFEE}">
      <text>
        <r>
          <rPr>
            <b/>
            <sz val="11"/>
            <color indexed="81"/>
            <rFont val="Segoe UI"/>
            <family val="2"/>
          </rPr>
          <t>Qual a fonte dos dados? Verificar e analisar os dado na lateral da planilha. Caso concorde, ajustar</t>
        </r>
      </text>
    </comment>
    <comment ref="D75" authorId="0" shapeId="0" xr:uid="{00000000-0006-0000-0100-000014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75" authorId="0" shapeId="0" xr:uid="{00000000-0006-0000-0100-000015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86" authorId="0" shapeId="0" xr:uid="{00000000-0006-0000-0100-000016000000}">
      <text>
        <r>
          <rPr>
            <b/>
            <sz val="9"/>
            <color rgb="FF000000"/>
            <rFont val="Segoe UI"/>
            <family val="2"/>
            <charset val="1"/>
          </rPr>
          <t>Utilizar a informação do Relatório de Gestão - Exercício 2019</t>
        </r>
      </text>
    </comment>
    <comment ref="E86" authorId="0" shapeId="0" xr:uid="{00000000-0006-0000-0100-000017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93" authorId="0" shapeId="0" xr:uid="{00000000-0006-0000-0100-000018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93" authorId="0" shapeId="0" xr:uid="{00000000-0006-0000-0100-000019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96" authorId="0" shapeId="0" xr:uid="{00000000-0006-0000-0100-00001A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96" authorId="0" shapeId="0" xr:uid="{00000000-0006-0000-0100-00001B00000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100" authorId="0" shapeId="0" xr:uid="{00000000-0006-0000-0100-00001C000000}">
      <text>
        <r>
          <rPr>
            <b/>
            <sz val="9"/>
            <color rgb="FF000000"/>
            <rFont val="Segoe UI"/>
            <family val="2"/>
            <charset val="1"/>
          </rPr>
          <t>Utilizar a informação do Relatório de Gestão - Exercício 2019</t>
        </r>
      </text>
    </comment>
    <comment ref="E100" authorId="0" shapeId="0" xr:uid="{00000000-0006-0000-0100-00001D000000}">
      <text>
        <r>
          <rPr>
            <b/>
            <sz val="9"/>
            <color rgb="FF000000"/>
            <rFont val="Segoe UI"/>
            <family val="2"/>
            <charset val="1"/>
          </rPr>
          <t>Utilizar a informação do Relatório de Gestão - Exercício 2020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 Milhomem Brito Menezes</author>
    <author>Fabiana Pereira Siqueira</author>
    <author>Tania Mara Chaves Daldegan</author>
  </authors>
  <commentList>
    <comment ref="A5" authorId="0" shapeId="0" xr:uid="{00000000-0006-0000-0200-000001000000}">
      <text>
        <r>
          <rPr>
            <b/>
            <sz val="16"/>
            <color indexed="81"/>
            <rFont val="Tahoma"/>
            <family val="2"/>
          </rPr>
          <t>Área ou setor responsável pela Atividade ou Projeto</t>
        </r>
      </text>
    </comment>
    <comment ref="B5" authorId="0" shapeId="0" xr:uid="{00000000-0006-0000-0200-000002000000}">
      <text>
        <r>
          <rPr>
            <b/>
            <sz val="14"/>
            <color rgb="FF000000"/>
            <rFont val="Calibri Light"/>
            <family val="2"/>
          </rPr>
          <t xml:space="preserve">P= Projeto                                         A= Atividade 
</t>
        </r>
        <r>
          <rPr>
            <b/>
            <sz val="14"/>
            <color rgb="FF000000"/>
            <rFont val="Calibri Light"/>
            <family val="2"/>
          </rPr>
          <t xml:space="preserve">PE= Projeto Específico
</t>
        </r>
        <r>
          <rPr>
            <b/>
            <sz val="14"/>
            <color rgb="FF000000"/>
            <rFont val="Calibri Light"/>
            <family val="2"/>
          </rPr>
          <t xml:space="preserve">P.= Projeto não executado                                        A. = Atividade não executada
</t>
        </r>
        <r>
          <rPr>
            <b/>
            <sz val="14"/>
            <color rgb="FF000000"/>
            <rFont val="Calibri Light"/>
            <family val="2"/>
          </rPr>
          <t>PE. = Projeto Específico não executado</t>
        </r>
      </text>
    </comment>
    <comment ref="C5" authorId="0" shapeId="0" xr:uid="{00000000-0006-0000-0200-000003000000}">
      <text>
        <r>
          <rPr>
            <b/>
            <sz val="13"/>
            <color rgb="FF000000"/>
            <rFont val="Tahoma"/>
            <family val="2"/>
          </rPr>
          <t>Nome do Projeto ou Atividade do Plano de Ação, conforme o parecer aprovado da Reprogramação 2021</t>
        </r>
      </text>
    </comment>
    <comment ref="D5" authorId="0" shapeId="0" xr:uid="{00000000-0006-0000-0200-000004000000}">
      <text>
        <r>
          <rPr>
            <b/>
            <sz val="14"/>
            <color indexed="81"/>
            <rFont val="Tahoma"/>
            <family val="2"/>
          </rPr>
          <t>Selecionar uma das opções nas células abaixo que estão de acordo com os objetivos estratégicos do Mapa Estratégico no âmbito das perspectivas da Sociedade, Processos Internos, Alavancadores e Pessoas e Infraestrutura.</t>
        </r>
      </text>
    </comment>
    <comment ref="E5" authorId="0" shapeId="0" xr:uid="{00000000-0006-0000-0200-000005000000}">
      <text>
        <r>
          <rPr>
            <b/>
            <sz val="12"/>
            <color indexed="81"/>
            <rFont val="Tahoma"/>
            <family val="2"/>
          </rPr>
          <t>Resultado conforme o previsto no parecer aprovado da Reprogramação do Plano de Ação do Exercício de 2021.</t>
        </r>
      </text>
    </comment>
    <comment ref="F5" authorId="1" shapeId="0" xr:uid="{00000000-0006-0000-0200-000006000000}">
      <text>
        <r>
          <rPr>
            <b/>
            <sz val="12"/>
            <color rgb="FF000000"/>
            <rFont val="Calibri"/>
            <family val="2"/>
          </rPr>
          <t>Usar o último valor APROVADO no parecer do Plano de Ação do Reprogramado  Exercício de 2021, sem transposição.</t>
        </r>
      </text>
    </comment>
    <comment ref="G5" authorId="2" shapeId="0" xr:uid="{00000000-0006-0000-0200-000007000000}">
      <text>
        <r>
          <rPr>
            <b/>
            <sz val="11"/>
            <color rgb="FF000000"/>
            <rFont val="Segoe UI"/>
            <family val="2"/>
            <charset val="1"/>
          </rPr>
          <t xml:space="preserve">Retirar do SISCONT. NET, no caminho: "Centro de Custos&gt; Relatórios&gt; Demonstrativo de empenhos/pagamentos- período de: 01/01/2021 até 31/12/2021 na coluna do ORÇADO.
</t>
        </r>
      </text>
    </comment>
    <comment ref="H5" authorId="1" shapeId="0" xr:uid="{00000000-0006-0000-0200-000008000000}">
      <text>
        <r>
          <rPr>
            <b/>
            <sz val="12"/>
            <color rgb="FF000000"/>
            <rFont val="Calibri"/>
            <family val="2"/>
          </rPr>
          <t>Retirar do SISCONT. NET, no caminho: "Centro de Custos&gt; Relatórios&gt; Demonstrativo de empenhos/pagamentos- período de: 01/01/2021 até 31/12/2021 na coluna do EMPENHOS.</t>
        </r>
      </text>
    </comment>
    <comment ref="K5" authorId="0" shapeId="0" xr:uid="{00000000-0006-0000-0200-000009000000}">
      <text>
        <r>
          <rPr>
            <b/>
            <sz val="16"/>
            <color indexed="81"/>
            <rFont val="Tahoma"/>
            <family val="2"/>
          </rPr>
          <t>Área ou setor responsável pela Atividade ou Projeto</t>
        </r>
      </text>
    </comment>
    <comment ref="L5" authorId="0" shapeId="0" xr:uid="{00000000-0006-0000-0200-00000A000000}">
      <text>
        <r>
          <rPr>
            <b/>
            <sz val="14"/>
            <color rgb="FF000000"/>
            <rFont val="Calibri Light"/>
            <family val="2"/>
          </rPr>
          <t xml:space="preserve">P= Projeto                                         A= Atividade 
</t>
        </r>
        <r>
          <rPr>
            <b/>
            <sz val="14"/>
            <color rgb="FF000000"/>
            <rFont val="Calibri Light"/>
            <family val="2"/>
          </rPr>
          <t xml:space="preserve">PE= Projeto Específico
</t>
        </r>
        <r>
          <rPr>
            <b/>
            <sz val="14"/>
            <color rgb="FF000000"/>
            <rFont val="Calibri Light"/>
            <family val="2"/>
          </rPr>
          <t xml:space="preserve">P.= Projeto não executado                                        A. = Atividade não executada
</t>
        </r>
        <r>
          <rPr>
            <b/>
            <sz val="14"/>
            <color rgb="FF000000"/>
            <rFont val="Calibri Light"/>
            <family val="2"/>
          </rPr>
          <t>PE. = Projeto Específico não executado</t>
        </r>
      </text>
    </comment>
    <comment ref="M5" authorId="0" shapeId="0" xr:uid="{00000000-0006-0000-0200-00000B000000}">
      <text>
        <r>
          <rPr>
            <b/>
            <sz val="13"/>
            <color rgb="FF000000"/>
            <rFont val="Tahoma"/>
            <family val="2"/>
          </rPr>
          <t>Nome do Projeto ou Atividade do Plano de Ação, conforme o parecer aprovado da Reprogramação 2021</t>
        </r>
      </text>
    </comment>
    <comment ref="N5" authorId="0" shapeId="0" xr:uid="{00000000-0006-0000-0200-00000C000000}">
      <text>
        <r>
          <rPr>
            <b/>
            <sz val="14"/>
            <color indexed="81"/>
            <rFont val="Tahoma"/>
            <family val="2"/>
          </rPr>
          <t>Selecionar uma das opções nas células abaixo que estão de acordo com os objetivos estratégicos do Mapa Estratégico no âmbito das perspectivas da Sociedade, Processos Internos, Alavancadores e Pessoas e Infraestrutura.</t>
        </r>
      </text>
    </comment>
    <comment ref="O5" authorId="0" shapeId="0" xr:uid="{00000000-0006-0000-0200-00000D000000}">
      <text>
        <r>
          <rPr>
            <b/>
            <sz val="12"/>
            <color indexed="81"/>
            <rFont val="Tahoma"/>
            <family val="2"/>
          </rPr>
          <t>Resultado conforme o previsto no parecer aprovado da Reprogramação do Plano de Ação do Exercício de 2021.</t>
        </r>
      </text>
    </comment>
    <comment ref="P5" authorId="1" shapeId="0" xr:uid="{00000000-0006-0000-0200-00000E000000}">
      <text>
        <r>
          <rPr>
            <b/>
            <sz val="12"/>
            <color rgb="FF000000"/>
            <rFont val="Calibri"/>
            <family val="2"/>
          </rPr>
          <t>Usar o último valor APROVADO no parecer do Plano de Ação do Reprogramado  Exercício de 2021, sem transposição.</t>
        </r>
      </text>
    </comment>
    <comment ref="Q5" authorId="2" shapeId="0" xr:uid="{00000000-0006-0000-0200-00000F000000}">
      <text>
        <r>
          <rPr>
            <b/>
            <sz val="11"/>
            <color rgb="FF000000"/>
            <rFont val="Segoe UI"/>
            <family val="2"/>
            <charset val="1"/>
          </rPr>
          <t xml:space="preserve">Retirar do SISCONT. NET, no caminho: "Centro de Custos&gt; Relatórios&gt; Demonstrativo de empenhos/pagamentos- período de: 01/01/2021 até 31/12/2021 na coluna do ORÇADO.
</t>
        </r>
      </text>
    </comment>
    <comment ref="R5" authorId="1" shapeId="0" xr:uid="{00000000-0006-0000-0200-000010000000}">
      <text>
        <r>
          <rPr>
            <b/>
            <sz val="12"/>
            <color rgb="FF000000"/>
            <rFont val="Calibri"/>
            <family val="2"/>
          </rPr>
          <t>Retirar do SISCONT. NET, no caminho: "Centro de Custos&gt; Relatórios&gt; Demonstrativo de empenhos/pagamentos- período de: 01/01/2021 até 31/12/2021 na coluna do EMPENHOS.</t>
        </r>
      </text>
    </comment>
    <comment ref="A18" authorId="2" shapeId="0" xr:uid="{8E6DAE37-BAAB-445C-8584-CEA8C95435CC}">
      <text>
        <r>
          <rPr>
            <b/>
            <sz val="11"/>
            <color indexed="81"/>
            <rFont val="Segoe UI"/>
            <family val="2"/>
          </rPr>
          <t>Tania Mara Chaves Daldegan: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C18" authorId="2" shapeId="0" xr:uid="{A07E14C2-5202-4C9E-8E63-EDD39EEC0E66}">
      <text>
        <r>
          <rPr>
            <b/>
            <sz val="11"/>
            <color indexed="81"/>
            <rFont val="Segoe UI"/>
            <family val="2"/>
          </rPr>
          <t>Foi excluído na reprogramação 2021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 Milhomem Brito Menezes</author>
    <author>Fabiana Pereira Siqueira</author>
  </authors>
  <commentList>
    <comment ref="C4" authorId="0" shapeId="0" xr:uid="{00000000-0006-0000-0300-000001000000}">
      <text>
        <r>
          <rPr>
            <b/>
            <sz val="12"/>
            <color rgb="FF000000"/>
            <rFont val="Calibri Light"/>
            <family val="2"/>
          </rPr>
          <t>usar o último valor APROVADO no parecer da Reprogramação do Plano de Ação do Exercício de 2021, sem transposição.</t>
        </r>
      </text>
    </comment>
    <comment ref="D4" authorId="1" shapeId="0" xr:uid="{00000000-0006-0000-0300-000002000000}">
      <text>
        <r>
          <rPr>
            <b/>
            <sz val="12"/>
            <color rgb="FF000000"/>
            <rFont val="Calibri"/>
            <family val="2"/>
          </rPr>
          <t>retirar do SISCONT. NET, no caminho:  "Contabilidade&gt; Relatórios&gt; Balanço Orçamentário"; período de 01/01/2021 até 31/12/2021; na coluna das RECEITAS REALIZADAS.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Fabiana Pereira Siqueira</author>
    <author>Gustavo Milhomem Brito Menezes</author>
    <author>Marcos Cristino</author>
    <author>Tania Mara Chaves Daldegan</author>
    <author>Fabiana ...</author>
  </authors>
  <commentList>
    <comment ref="D3" authorId="0" shapeId="0" xr:uid="{00000000-0006-0000-0400-000001000000}">
      <text>
        <r>
          <rPr>
            <b/>
            <sz val="12"/>
            <color indexed="81"/>
            <rFont val="Calibri"/>
            <family val="2"/>
            <scheme val="minor"/>
          </rPr>
          <t>usar o último valor APROVADO no parecer da Reprogramação do Plano de Ação do Exercício de 2021, sem transposição.</t>
        </r>
      </text>
    </comment>
    <comment ref="E3" authorId="0" shapeId="0" xr:uid="{00000000-0006-0000-0400-000002000000}">
      <text>
        <r>
          <rPr>
            <b/>
            <sz val="12"/>
            <color indexed="81"/>
            <rFont val="Calibri"/>
            <family val="2"/>
            <scheme val="minor"/>
          </rPr>
          <t>RECEITAS : retirar do SISCONT. NET, no caminho:  "Contabilidade&gt; Relatórios&gt; Balanço Orçamentário"; período de 01/01/2021 até 31/12/2021; na coluna das RECEITAS REALIZADAS 
Fundo de Apoio (FA): Retirar do SISCONT. NET, no caminho: "Centro de Custos&gt; Relatórios&gt; Demonstrativo de empenhos/pagamentos- período de: 01/01/2021 até 31/12/2021 na coluna do EMPENHOS.</t>
        </r>
      </text>
    </comment>
    <comment ref="M3" authorId="0" shapeId="0" xr:uid="{00000000-0006-0000-0400-000003000000}">
      <text>
        <r>
          <rPr>
            <b/>
            <sz val="12"/>
            <color indexed="81"/>
            <rFont val="Calibri"/>
            <family val="2"/>
            <scheme val="minor"/>
          </rPr>
          <t>usar o último valor APROVADO no parecer da Reprogramação do Plano de Ação do Exercício de 2021, sem transposição.</t>
        </r>
      </text>
    </comment>
    <comment ref="N3" authorId="0" shapeId="0" xr:uid="{00000000-0006-0000-0400-000004000000}">
      <text>
        <r>
          <rPr>
            <b/>
            <sz val="12"/>
            <color rgb="FF000000"/>
            <rFont val="Calibri"/>
            <family val="2"/>
          </rPr>
          <t xml:space="preserve">DESPESAS: Retirar do SISCONT. NET,  Balanço Orçamentário ou do Relatório de Despesas Pagas: 01/01/2021 até 31/12/2021 na coluna do EMPENHOS.
</t>
        </r>
        <r>
          <rPr>
            <b/>
            <sz val="12"/>
            <color rgb="FF000000"/>
            <rFont val="Calibri"/>
            <family val="2"/>
          </rPr>
          <t xml:space="preserve">
</t>
        </r>
        <r>
          <rPr>
            <b/>
            <sz val="12"/>
            <color rgb="FF000000"/>
            <rFont val="Calibri"/>
            <family val="2"/>
          </rPr>
          <t xml:space="preserve">RECEITAS : retirar do SISCONT. NET, no caminho:  "Contabilidade&gt; Relatórios&gt; Balanço Orçamentário"; período de 01/01/2021 até 31/12/2021; na coluna das RECEITAS REALIZADAS </t>
        </r>
      </text>
    </comment>
    <comment ref="B4" authorId="1" shapeId="0" xr:uid="{00000000-0006-0000-0400-000005000000}">
      <text>
        <r>
          <rPr>
            <b/>
            <sz val="11"/>
            <color indexed="81"/>
            <rFont val="Tahoma"/>
            <family val="2"/>
          </rPr>
          <t>Vinculada as Receitas de Arrecadação do Anexo 1.1 - Usos e Fonte COM os valores das anuidades de exercícios anteriores.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B5" authorId="1" shapeId="0" xr:uid="{00000000-0006-0000-0400-000006000000}">
      <text>
        <r>
          <rPr>
            <b/>
            <sz val="9"/>
            <color indexed="81"/>
            <rFont val="Tahoma"/>
            <family val="2"/>
          </rPr>
          <t>Apenas para os Cau Básicos. O valor total deve ser igual do que consta nas Diretrizes da Programação 2021.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2" shapeId="0" xr:uid="{00000000-0006-0000-0400-000007000000}">
      <text>
        <r>
          <rPr>
            <sz val="9"/>
            <color rgb="FF000000"/>
            <rFont val="Segoe UI"/>
            <family val="2"/>
            <charset val="1"/>
          </rPr>
          <t>Apresentar detalhamento no campo de comentários.</t>
        </r>
      </text>
    </comment>
    <comment ref="B6" authorId="1" shapeId="0" xr:uid="{00000000-0006-0000-0400-000008000000}">
      <text>
        <r>
          <rPr>
            <b/>
            <sz val="9"/>
            <color indexed="81"/>
            <rFont val="Tahoma"/>
            <family val="2"/>
          </rPr>
          <t>= Receita de Arrecadação + Recurso do Fundo de Apoio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1" shapeId="0" xr:uid="{00000000-0006-0000-0400-000009000000}">
      <text>
        <r>
          <rPr>
            <b/>
            <sz val="9"/>
            <color indexed="81"/>
            <rFont val="Tahoma"/>
            <family val="2"/>
          </rPr>
          <t>RAL= Receita de Arrecadação + Fundo de Apoio (apenas CAU Básicos) - Aporte FA</t>
        </r>
      </text>
    </comment>
    <comment ref="D10" authorId="0" shapeId="0" xr:uid="{00000000-0006-0000-0400-00000A000000}">
      <text>
        <r>
          <rPr>
            <b/>
            <sz val="12"/>
            <color indexed="81"/>
            <rFont val="Calibri"/>
            <family val="2"/>
            <scheme val="minor"/>
          </rPr>
          <t xml:space="preserve">usar o último valor APROVADO no parecer da Reprogramação do Plano de Ação do Exercício de 2021, sem transposição.
</t>
        </r>
      </text>
    </comment>
    <comment ref="E10" authorId="0" shapeId="0" xr:uid="{00000000-0006-0000-0400-00000B000000}">
      <text>
        <r>
          <rPr>
            <b/>
            <sz val="12"/>
            <color rgb="FF000000"/>
            <rFont val="Calibri"/>
            <family val="2"/>
          </rPr>
          <t>retirar do SISCONT. NET, no caminho: "Centro de Custos&gt; Relatórios&gt; Demonstrativo de empenhos/pagamentos- período de: 01/01/2021 até 31/12/2021; na coluna do EMPENHOS.</t>
        </r>
      </text>
    </comment>
    <comment ref="M10" authorId="0" shapeId="0" xr:uid="{00000000-0006-0000-0400-00000C000000}">
      <text>
        <r>
          <rPr>
            <b/>
            <sz val="12"/>
            <color rgb="FF000000"/>
            <rFont val="Calibri"/>
            <family val="2"/>
          </rPr>
          <t>usar o último valor APROVADO no parecer da Reprogramação do Plano de Ação do Exercício de 2021, sem transposição.</t>
        </r>
      </text>
    </comment>
    <comment ref="N10" authorId="0" shapeId="0" xr:uid="{00000000-0006-0000-0400-00000D000000}">
      <text>
        <r>
          <rPr>
            <b/>
            <sz val="12"/>
            <color indexed="81"/>
            <rFont val="Calibri"/>
            <family val="2"/>
            <scheme val="minor"/>
          </rPr>
          <t xml:space="preserve">DESPESAS
 : Retirar do SISCONT. NET, no caminho: "Centro de Custos&gt; Relatórios&gt; Demonstrativo de empenhos/pagamentos- período de: 01/01/2021 até 31/12/2021 na coluna do EMPENHOS.
</t>
        </r>
      </text>
    </comment>
    <comment ref="F11" authorId="3" shapeId="0" xr:uid="{00000000-0006-0000-0400-00000E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1" authorId="4" shapeId="0" xr:uid="{00000000-0006-0000-0400-00000F000000}">
      <text>
        <r>
          <rPr>
            <sz val="12"/>
            <color rgb="FF000000"/>
            <rFont val="Segoe UI"/>
            <family val="2"/>
            <charset val="1"/>
          </rPr>
          <t>Não considerar o valor total das rescisões contratuais, auxílio alimentação, auxílio transporte, plano de saúde e demais benefícios</t>
        </r>
      </text>
    </comment>
    <comment ref="F12" authorId="3" shapeId="0" xr:uid="{00000000-0006-0000-0400-000010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3" authorId="3" shapeId="0" xr:uid="{00000000-0006-0000-0400-000011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3" authorId="4" shapeId="0" xr:uid="{00000000-0006-0000-0400-000012000000}">
      <text>
        <r>
          <rPr>
            <sz val="12"/>
            <color rgb="FF000000"/>
            <rFont val="Segoe UI"/>
            <family val="2"/>
            <charset val="1"/>
          </rPr>
          <t xml:space="preserve"> Folhas de pagamento (salários, encargos e benefícios)</t>
        </r>
      </text>
    </comment>
    <comment ref="F14" authorId="3" shapeId="0" xr:uid="{00000000-0006-0000-0400-000013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5" authorId="3" shapeId="0" xr:uid="{00000000-0006-0000-0400-000014000000}">
      <text>
        <r>
          <rPr>
            <b/>
            <sz val="9"/>
            <color rgb="FF000000"/>
            <rFont val="Segoe UI"/>
            <family val="2"/>
            <charset val="1"/>
          </rPr>
          <t>É percentual (%)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</text>
    </comment>
    <comment ref="F16" authorId="3" shapeId="0" xr:uid="{00000000-0006-0000-0400-000015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7" authorId="3" shapeId="0" xr:uid="{00000000-0006-0000-0400-000016000000}">
      <text>
        <r>
          <rPr>
            <b/>
            <sz val="9"/>
            <color rgb="FF000000"/>
            <rFont val="Segoe UI"/>
            <family val="2"/>
            <charset val="1"/>
          </rPr>
          <t>É percentual (%)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</text>
    </comment>
    <comment ref="F18" authorId="3" shapeId="0" xr:uid="{00000000-0006-0000-0400-000017000000}">
      <text>
        <r>
          <rPr>
            <b/>
            <sz val="9"/>
            <color rgb="FF000000"/>
            <rFont val="Segoe UI"/>
            <family val="2"/>
            <charset val="1"/>
          </rPr>
          <t>É ponto percentual (pp)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</text>
    </comment>
    <comment ref="F19" authorId="3" shapeId="0" xr:uid="{00000000-0006-0000-0400-000018000000}">
      <text>
        <r>
          <rPr>
            <b/>
            <sz val="9"/>
            <color rgb="FF000000"/>
            <rFont val="Segoe UI"/>
            <family val="2"/>
            <charset val="1"/>
          </rPr>
          <t>É percentual (%)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</text>
    </comment>
    <comment ref="F20" authorId="3" shapeId="0" xr:uid="{00000000-0006-0000-0400-000019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1" authorId="3" shapeId="0" xr:uid="{00000000-0006-0000-0400-00001A000000}">
      <text>
        <r>
          <rPr>
            <b/>
            <sz val="9"/>
            <color rgb="FF000000"/>
            <rFont val="Segoe UI"/>
            <family val="2"/>
            <charset val="1"/>
          </rPr>
          <t>É percentual (%)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</text>
    </comment>
    <comment ref="F22" authorId="3" shapeId="0" xr:uid="{00000000-0006-0000-0400-00001B000000}">
      <text>
        <r>
          <rPr>
            <b/>
            <sz val="9"/>
            <color rgb="FF000000"/>
            <rFont val="Segoe UI"/>
            <family val="2"/>
            <charset val="1"/>
          </rPr>
          <t>É ponto percentual (pp)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</text>
    </comment>
    <comment ref="F23" authorId="3" shapeId="0" xr:uid="{00000000-0006-0000-0400-00001C000000}">
      <text>
        <r>
          <rPr>
            <b/>
            <sz val="9"/>
            <color rgb="FF000000"/>
            <rFont val="Segoe UI"/>
            <family val="2"/>
            <charset val="1"/>
          </rPr>
          <t>É percentual (%)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</text>
    </comment>
    <comment ref="F24" authorId="3" shapeId="0" xr:uid="{00000000-0006-0000-0400-00001D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Cristino</author>
  </authors>
  <commentList>
    <comment ref="AK15" authorId="0" shapeId="0" xr:uid="{00000000-0006-0000-0600-000001000000}">
      <text>
        <r>
          <rPr>
            <sz val="9"/>
            <color indexed="81"/>
            <rFont val="Segoe UI"/>
            <family val="2"/>
          </rPr>
          <t>Valor apenas do Ressarcimento de Taxas Bancárias</t>
        </r>
      </text>
    </comment>
  </commentList>
</comments>
</file>

<file path=xl/sharedStrings.xml><?xml version="1.0" encoding="utf-8"?>
<sst xmlns="http://schemas.openxmlformats.org/spreadsheetml/2006/main" count="1221" uniqueCount="682">
  <si>
    <t>Imobilizado</t>
  </si>
  <si>
    <t>Unidade Responsável</t>
  </si>
  <si>
    <t>Denominação</t>
  </si>
  <si>
    <t>TOTAL</t>
  </si>
  <si>
    <t>Especificação</t>
  </si>
  <si>
    <t>1. Receitas Correntes</t>
  </si>
  <si>
    <t>1.1.1 Anuidades</t>
  </si>
  <si>
    <t>1.1.1.1 Pessoa Física</t>
  </si>
  <si>
    <t>1.1.1.2 Pessoa Jurídica</t>
  </si>
  <si>
    <t>1.2 Aplicações Financeiras</t>
  </si>
  <si>
    <t>1.4 Fundo de Apoio</t>
  </si>
  <si>
    <t>2.1 Saldos de Exercícios Anteriores (Superávit Financeiro)</t>
  </si>
  <si>
    <t xml:space="preserve"> I – TOTAL</t>
  </si>
  <si>
    <t>Valores em R$ 1,00</t>
  </si>
  <si>
    <t>Impactar significativamente o planejamento e a gestão do território</t>
  </si>
  <si>
    <t>Tornar a fiscalização um vetor de melhoria do exercício da Arquitetura e Urbanismo</t>
  </si>
  <si>
    <t>Assegurar a eficácia no atendimento e no relacionamento com os arquitetos e urbanistas e a sociedade</t>
  </si>
  <si>
    <t>Estimular o conhecimento, o uso de processos criativos e a difusão das melhores práticas em Arquitetura e Urbanismo</t>
  </si>
  <si>
    <t>Garantir a participação dos arquitetos e urbanistas no planejamento territorial e na gestão urbana</t>
  </si>
  <si>
    <t>Estimular a produção da arquitetura e urbanismo como política de Estado</t>
  </si>
  <si>
    <t>Assegurar a eficácia no relacionamento e comunicação com a sociedade</t>
  </si>
  <si>
    <t>Promover o exercício ético e qualificado da profissão</t>
  </si>
  <si>
    <t>Fomentar o acesso da sociedade à Arquitetura e Urbanismo</t>
  </si>
  <si>
    <t>Assegurar a sustentabilidade financeira</t>
  </si>
  <si>
    <t>Aprimorar e inovar os processos e as ações</t>
  </si>
  <si>
    <t>Desenvolver competências de dirigentes e colaboradores</t>
  </si>
  <si>
    <t>Construir cultura organizacional adequada à estratégia</t>
  </si>
  <si>
    <t>Ter sistemas de informação e infraestrutura que viabilizem a gestão e o atendimento dos arquitetos e urbanistas e a sociedade</t>
  </si>
  <si>
    <t>Objetivo Estratégico Principal</t>
  </si>
  <si>
    <t>Material de Consumo</t>
  </si>
  <si>
    <t>Encargos Diversos</t>
  </si>
  <si>
    <t>Diárias</t>
  </si>
  <si>
    <t>BASE DE CÁLCULO</t>
  </si>
  <si>
    <t>APLICAÇÕES DE RECURSOS</t>
  </si>
  <si>
    <t xml:space="preserve">FOLHA DE PAGAMENTO </t>
  </si>
  <si>
    <t>2. Recursos do fundo de apoio (CAU Básico)</t>
  </si>
  <si>
    <t>Valor</t>
  </si>
  <si>
    <t xml:space="preserve">% </t>
  </si>
  <si>
    <t>LIMITES</t>
  </si>
  <si>
    <t xml:space="preserve">Fórmula </t>
  </si>
  <si>
    <t>B- INDICADORES DE RESULTADO</t>
  </si>
  <si>
    <t>A- INDICADORES INSTITUCIONAIS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</si>
  <si>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</si>
  <si>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</si>
  <si>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</si>
  <si>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</si>
  <si>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Pessoal e Encargos</t>
  </si>
  <si>
    <t>A. Pessoal e Encargos (Valores totais)</t>
  </si>
  <si>
    <t>1. QUADRO GERAL</t>
  </si>
  <si>
    <t>1.1.3 RRT</t>
  </si>
  <si>
    <t xml:space="preserve">BASE DE CÁLCULO </t>
  </si>
  <si>
    <t>5.  Receita da Arrecadação Líquida (RAL = 3 - 4)</t>
  </si>
  <si>
    <t>1.1.1.1.2 Anuidade Exercícios anteriores</t>
  </si>
  <si>
    <t>1.1.1.2.2 Anuidade Exercícios anteriores</t>
  </si>
  <si>
    <t>1.1 Receitas de Arrecadação Total</t>
  </si>
  <si>
    <t>x 100</t>
  </si>
  <si>
    <t>número de usuários satisfeitos com a solução da demanda</t>
  </si>
  <si>
    <t>número de usuários que responderam a pesquisa</t>
  </si>
  <si>
    <t>total de notícias sobre questões de Arquitetura e Urbanismo</t>
  </si>
  <si>
    <t>total de inserções do CAU na mídia</t>
  </si>
  <si>
    <t>passivo circulante</t>
  </si>
  <si>
    <t>total de profissionais ativos</t>
  </si>
  <si>
    <t>total de empresas inadimplentes</t>
  </si>
  <si>
    <t>horas totais de treinamento</t>
  </si>
  <si>
    <t>número total de colaboradores e dirigentes</t>
  </si>
  <si>
    <t>total de usuários internos que participaram da pesquisa</t>
  </si>
  <si>
    <t>total de usuários externos que participaram da pesquisa</t>
  </si>
  <si>
    <t>01 - Erradicação da pobreza</t>
  </si>
  <si>
    <t>05 - Igualdade de gênero</t>
  </si>
  <si>
    <t>08 - Trabalho decente e crescimento econômico</t>
  </si>
  <si>
    <t>10 - Redução das desigualdades</t>
  </si>
  <si>
    <t>11 - Cidades e comunidades sustentáveis</t>
  </si>
  <si>
    <t>14 - Vida na água</t>
  </si>
  <si>
    <t>16 - Paz, justiça e instituições eficazes</t>
  </si>
  <si>
    <t>17 - Parcerias e meios de implementação</t>
  </si>
  <si>
    <t>02 - Fome zero e agricultura sustentável</t>
  </si>
  <si>
    <t>03 - Saúde e bem-estar</t>
  </si>
  <si>
    <t>04 - Educação de qualidade</t>
  </si>
  <si>
    <t>06 - Água limpa e saneamento</t>
  </si>
  <si>
    <t>09 - Inovação infraestrutura</t>
  </si>
  <si>
    <t>12 - Consumo e produção responsáveis</t>
  </si>
  <si>
    <t>13 - Ação contra a mudança global do clima</t>
  </si>
  <si>
    <t>15 - Vida terrestre</t>
  </si>
  <si>
    <t>Assegurar a eficácia no atendimento e no relacionamento com os Arquitetos e Urbanistas e a Sociedade</t>
  </si>
  <si>
    <t>Auto-Atendimento</t>
  </si>
  <si>
    <t>Qualificação dos Canais de Atendimento</t>
  </si>
  <si>
    <t>Ações Locais em Mídia</t>
  </si>
  <si>
    <t>Ações Nacionais em Mídia</t>
  </si>
  <si>
    <t>Atualização do Portal da Transparência</t>
  </si>
  <si>
    <t>Estimular a produção da Arquitetura e Urbanismo como política de Estado</t>
  </si>
  <si>
    <t>Representação em Instâncias Públicas</t>
  </si>
  <si>
    <t>Câmaras Temáticas</t>
  </si>
  <si>
    <t>Editais de Patrocínio</t>
  </si>
  <si>
    <t>Capacitação em ATHIS</t>
  </si>
  <si>
    <t>Cooperação Técnica para ATHIS</t>
  </si>
  <si>
    <t>Influenciar as diretrizes do ensino de Arquitetura e Urbanismo e sua formação continuada</t>
  </si>
  <si>
    <t>Ações de Melhoria da Qualidade do Ensino</t>
  </si>
  <si>
    <t>CAU nas Escolas</t>
  </si>
  <si>
    <t>Audiências de Conciliação</t>
  </si>
  <si>
    <t>Melhoria de Processo Ético</t>
  </si>
  <si>
    <t>Palestras e campanhas sobre Aspectos Éticos</t>
  </si>
  <si>
    <t>Cooperação Técnica para Fiscalização</t>
  </si>
  <si>
    <t>Plataforma de Georreferenciamento</t>
  </si>
  <si>
    <t>Fiscalização Orientativa</t>
  </si>
  <si>
    <t>Fiscalização em Obras</t>
  </si>
  <si>
    <t>Serviços de Terceiros- Diárias</t>
  </si>
  <si>
    <t>Serviços de Terceiros- Passagens</t>
  </si>
  <si>
    <t>Serviços de Terceiros- Serviços Prestados</t>
  </si>
  <si>
    <t>Serviços de Terceiros- Aluguéis e Encargos</t>
  </si>
  <si>
    <t>Transferências Correntes</t>
  </si>
  <si>
    <t>2.2 Outras Receitas de Capital</t>
  </si>
  <si>
    <t>1.3 Outras Receitas Correntes</t>
  </si>
  <si>
    <t>Não se aplica</t>
  </si>
  <si>
    <t>Atendimento Eletrônico</t>
  </si>
  <si>
    <t>Valorizar a Arquitetura e Urbanismo</t>
  </si>
  <si>
    <t>Garantir a participação dos Arquitetos e Urbanistas no planejamento territorial e na gestão urbana</t>
  </si>
  <si>
    <t xml:space="preserve">Reserva de Contingência </t>
  </si>
  <si>
    <t>RRT mínima</t>
  </si>
  <si>
    <t>número de usuários internos satisfeitos com a tecnologia</t>
  </si>
  <si>
    <t>número de usuários externos satisfeitos com a tecnologia</t>
  </si>
  <si>
    <t>ativo circulante</t>
  </si>
  <si>
    <t>total de profissionais inadimplentes</t>
  </si>
  <si>
    <t>número de processos éticos concluídos em um ano</t>
  </si>
  <si>
    <t>1.1.4 Taxas e Multas</t>
  </si>
  <si>
    <t xml:space="preserve">1. Receita de Arrecadação Total </t>
  </si>
  <si>
    <t>Sociedade</t>
  </si>
  <si>
    <t>número de municípios  da UF que possuem  Plano Diretor</t>
  </si>
  <si>
    <t>total de municípios da UF</t>
  </si>
  <si>
    <t xml:space="preserve">quantidade de ações de fiscalização realizadas pelo CAU/UF no mês </t>
  </si>
  <si>
    <t xml:space="preserve">número de ações de fiscalização previstas no Plano de Ação aprovado </t>
  </si>
  <si>
    <t>quantidade de obras e serviços regulares</t>
  </si>
  <si>
    <t>quantidade de obras e serviços fiscalizados pelo CAU/UF</t>
  </si>
  <si>
    <t>número total de RRT registrados (pagos) por mês</t>
  </si>
  <si>
    <t xml:space="preserve"> total de profissionais ativos </t>
  </si>
  <si>
    <t>quantidade de denúncias atendidas</t>
  </si>
  <si>
    <t>número de denúncias recebidas</t>
  </si>
  <si>
    <t>número de processos de fiscalização concluídos no semestre</t>
  </si>
  <si>
    <t xml:space="preserve"> número total de processos de fiscalização em aberto no ano</t>
  </si>
  <si>
    <t>quantidade de termos de cooperação técnica e parcerias para racionalização da ações de fiscalização</t>
  </si>
  <si>
    <t>número de termos e parcerias previstos no Plano de Ação</t>
  </si>
  <si>
    <t>quantidade mensal de ações de fiscalização realizada</t>
  </si>
  <si>
    <t>número de horas de fiscalização mensal</t>
  </si>
  <si>
    <t>quantidade obras e serviços com RRT</t>
  </si>
  <si>
    <t>quantidade de obras e serviços regularizados</t>
  </si>
  <si>
    <t>quantidade de obras e serviços regularizados com RRT</t>
  </si>
  <si>
    <t>quantidade obras e serviços regularizados</t>
  </si>
  <si>
    <t xml:space="preserve">número de reclamações recebidas pela Ouvidoria  no trimestre                                                                                                               </t>
  </si>
  <si>
    <t xml:space="preserve">número total de atendimentos pela Ouvidoria no trimestre                                   </t>
  </si>
  <si>
    <t>valor orçamentário investido (executado) em patrocínios no ano</t>
  </si>
  <si>
    <t>valor orçamentário destinado (orçado) em patrocínios no ano</t>
  </si>
  <si>
    <t>Quantidade de participantes presentes</t>
  </si>
  <si>
    <t>quantidade de participantes previstas no Plano de Ação Aprovado</t>
  </si>
  <si>
    <t>custos totais dos eventos</t>
  </si>
  <si>
    <t>quantidade de participantes presentes</t>
  </si>
  <si>
    <t>número de pessoas atingida pelo material produzido e distribuído</t>
  </si>
  <si>
    <t>quantidade de material informativo produzido</t>
  </si>
  <si>
    <t>número de ações com participação do CAU/UF</t>
  </si>
  <si>
    <t>número de municípios da UF que passaram a aplicar a Lei de Assistência Técnica</t>
  </si>
  <si>
    <t>quantidade de acessos qualificados (visitantes únicos) a página do CAU/UF</t>
  </si>
  <si>
    <t>número de inserções na mídia em geral onde o CAU/UF foi citado</t>
  </si>
  <si>
    <t>número de inserções positivas do CAU/UF na mídia</t>
  </si>
  <si>
    <t>Número de  visualizações das publicações do CAU/UF das redes sociais</t>
  </si>
  <si>
    <t>quantidade de visualizações das publicações do CAU/UF das redes sociais</t>
  </si>
  <si>
    <t>número de escolas da UF com a disciplina de ética profissional na grade curricular</t>
  </si>
  <si>
    <t>número total de escolas da UF</t>
  </si>
  <si>
    <t>número total de processos éticos abertos</t>
  </si>
  <si>
    <t>tempo médio de conclusão de processos éticos</t>
  </si>
  <si>
    <t>tempo máximo para conclusão de processo</t>
  </si>
  <si>
    <t>total de RRT na UF</t>
  </si>
  <si>
    <t>população total da UF/1000 habitantes</t>
  </si>
  <si>
    <t>RRT Social</t>
  </si>
  <si>
    <t>receita corrente</t>
  </si>
  <si>
    <t>custo total de pessoal</t>
  </si>
  <si>
    <t xml:space="preserve">total de empresas ativas </t>
  </si>
  <si>
    <t>número de processos mapeados</t>
  </si>
  <si>
    <t xml:space="preserve">total de processos existentes </t>
  </si>
  <si>
    <t>número de processos normatizados</t>
  </si>
  <si>
    <t>total de processos existentes</t>
  </si>
  <si>
    <t>número de processos automatizados</t>
  </si>
  <si>
    <t>Número de ações executadas</t>
  </si>
  <si>
    <t xml:space="preserve">quantidade de ações executadas voltadas à cultura organizacional e estratégia                                                                                                                  </t>
  </si>
  <si>
    <t>Índice de cumprimento das metas do Plano de Ação (%)</t>
  </si>
  <si>
    <t>COMENTÁRIOS/JUSTIFICATIVAS:</t>
  </si>
  <si>
    <t>1.1.1.1.1 Anuidade do Exercício 2022</t>
  </si>
  <si>
    <t>1.1.1.2.1 Anuidade do Exercício 2022</t>
  </si>
  <si>
    <t>Reprogramação
 2021</t>
  </si>
  <si>
    <t>07 - Energia limpa e acessível </t>
  </si>
  <si>
    <t>número de solicitações tratadas no prazo estipulado pela Carta de Serviços no trimestre</t>
  </si>
  <si>
    <t>número de solicitações abertas no trimestre</t>
  </si>
  <si>
    <t>total de RRT pagos na UF</t>
  </si>
  <si>
    <t>total de profissionais potenciais pagantes</t>
  </si>
  <si>
    <r>
      <t xml:space="preserve">Índice de municípios que possuem  Plano Diretor, em conformidade com os critérios da legislação (%) 
</t>
    </r>
    <r>
      <rPr>
        <b/>
        <sz val="12"/>
        <color theme="1"/>
        <rFont val="Calibri"/>
        <family val="2"/>
        <scheme val="minor"/>
      </rPr>
      <t xml:space="preserve">(CAU/UF) </t>
    </r>
  </si>
  <si>
    <r>
      <t xml:space="preserve">Índice da capacidade de fiscalização (%) 
</t>
    </r>
    <r>
      <rPr>
        <b/>
        <sz val="12"/>
        <rFont val="Calibri"/>
        <family val="2"/>
        <scheme val="minor"/>
      </rPr>
      <t xml:space="preserve">(CAU/UF) </t>
    </r>
  </si>
  <si>
    <r>
      <t xml:space="preserve">Índice de presença profissional nas obras e  serviços fiscalizados  (%)
</t>
    </r>
    <r>
      <rPr>
        <b/>
        <sz val="12"/>
        <rFont val="Calibri"/>
        <family val="2"/>
        <scheme val="minor"/>
      </rPr>
      <t xml:space="preserve">(CAU/UF) </t>
    </r>
    <r>
      <rPr>
        <sz val="12"/>
        <rFont val="Calibri"/>
        <family val="2"/>
        <scheme val="minor"/>
      </rPr>
      <t xml:space="preserve">                   </t>
    </r>
  </si>
  <si>
    <r>
      <t xml:space="preserve">Índice de RRT por profissional ativo (Qtd)
</t>
    </r>
    <r>
      <rPr>
        <b/>
        <sz val="12"/>
        <rFont val="Calibri"/>
        <family val="2"/>
        <scheme val="minor"/>
      </rPr>
      <t xml:space="preserve">(CAU/UF)         </t>
    </r>
    <r>
      <rPr>
        <sz val="12"/>
        <rFont val="Calibri"/>
        <family val="2"/>
        <scheme val="minor"/>
      </rPr>
      <t xml:space="preserve">       </t>
    </r>
  </si>
  <si>
    <r>
      <t xml:space="preserve">Índice de capacidade de atendimento de denúncias 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</si>
  <si>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na conclusão de processos de fiscalização  (%)
</t>
    </r>
    <r>
      <rPr>
        <b/>
        <sz val="12"/>
        <rFont val="Calibri"/>
        <family val="2"/>
        <scheme val="minor"/>
      </rPr>
      <t>(CAU/UF)</t>
    </r>
  </si>
  <si>
    <r>
      <t xml:space="preserve">Índice da capacidade de articulação institucional para fiscalização (%)
</t>
    </r>
    <r>
      <rPr>
        <b/>
        <sz val="12"/>
        <rFont val="Calibri"/>
        <family val="2"/>
        <scheme val="minor"/>
      </rPr>
      <t>(CAU/UF)</t>
    </r>
  </si>
  <si>
    <r>
      <t xml:space="preserve">Índice produtividade de fiscalização (%)
</t>
    </r>
    <r>
      <rPr>
        <b/>
        <sz val="12"/>
        <rFont val="Calibri"/>
        <family val="2"/>
        <scheme val="minor"/>
      </rPr>
      <t>(CAU/UF)</t>
    </r>
  </si>
  <si>
    <r>
      <t xml:space="preserve">Índice de regularidade no CAU (%)
</t>
    </r>
    <r>
      <rPr>
        <b/>
        <sz val="12"/>
        <rFont val="Calibri"/>
        <family val="2"/>
        <scheme val="minor"/>
      </rPr>
      <t>(CAU/UF)</t>
    </r>
  </si>
  <si>
    <r>
      <t xml:space="preserve">Índice de regularização de obras e serviços (%)
</t>
    </r>
    <r>
      <rPr>
        <b/>
        <sz val="12"/>
        <rFont val="Calibri"/>
        <family val="2"/>
        <scheme val="minor"/>
      </rPr>
      <t>(CAU/UF)</t>
    </r>
  </si>
  <si>
    <r>
      <t xml:space="preserve">Índice de regularização com RRT (%)
</t>
    </r>
    <r>
      <rPr>
        <b/>
        <sz val="12"/>
        <rFont val="Calibri"/>
        <family val="2"/>
        <scheme val="minor"/>
      </rPr>
      <t>(CAU/UF)</t>
    </r>
  </si>
  <si>
    <r>
      <t xml:space="preserve">Índice de atendimento (%)
</t>
    </r>
    <r>
      <rPr>
        <b/>
        <sz val="12"/>
        <rFont val="Calibri"/>
        <family val="2"/>
        <scheme val="minor"/>
      </rPr>
      <t>(CAU/UF)</t>
    </r>
  </si>
  <si>
    <r>
      <t xml:space="preserve">Índice de satisfação com a solução da demanda (%)
</t>
    </r>
    <r>
      <rPr>
        <b/>
        <sz val="12"/>
        <rFont val="Calibri"/>
        <family val="2"/>
        <scheme val="minor"/>
      </rPr>
      <t>(CAU/UF)</t>
    </r>
  </si>
  <si>
    <r>
      <t xml:space="preserve">Índice de reclamações recebidas na Ouvidoria (%)
</t>
    </r>
    <r>
      <rPr>
        <b/>
        <sz val="12"/>
        <rFont val="Calibri"/>
        <family val="2"/>
        <scheme val="minor"/>
      </rPr>
      <t>(CAU/UF)</t>
    </r>
  </si>
  <si>
    <r>
      <t xml:space="preserve">Índice da capacidade de execução dos investimentos em patrocínios  (%)
</t>
    </r>
    <r>
      <rPr>
        <b/>
        <sz val="12"/>
        <rFont val="Calibri"/>
        <family val="2"/>
        <scheme val="minor"/>
      </rPr>
      <t>(CAU/UF)</t>
    </r>
  </si>
  <si>
    <r>
      <t xml:space="preserve">Índice de difusão de conhecimento em eventos próprios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</si>
  <si>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de custos de eventos próprios
</t>
    </r>
    <r>
      <rPr>
        <b/>
        <sz val="12"/>
        <rFont val="Calibri"/>
        <family val="2"/>
        <scheme val="minor"/>
      </rPr>
      <t>(CAU/UF)</t>
    </r>
  </si>
  <si>
    <r>
      <t xml:space="preserve">Índice de alcance das melhores práticas (%)
</t>
    </r>
    <r>
      <rPr>
        <b/>
        <sz val="12"/>
        <rFont val="Calibri"/>
        <family val="2"/>
        <scheme val="minor"/>
      </rPr>
      <t>(CAU/UF)</t>
    </r>
  </si>
  <si>
    <r>
      <t xml:space="preserve">Ações realizadas em conjunto com municípios, destinadas ao planejamento urbano
</t>
    </r>
    <r>
      <rPr>
        <b/>
        <sz val="12"/>
        <color theme="1"/>
        <rFont val="Calibri"/>
        <family val="2"/>
        <scheme val="minor"/>
      </rPr>
      <t>(CAU/UF)</t>
    </r>
  </si>
  <si>
    <r>
      <t xml:space="preserve">Participação do CAU na elaboração ou regulamentação da Lei da Assistência Técnica Gratuita (Lei nº 11.888/08) (%)
</t>
    </r>
    <r>
      <rPr>
        <b/>
        <sz val="12"/>
        <rFont val="Calibri"/>
        <family val="2"/>
        <scheme val="minor"/>
      </rPr>
      <t>(CAU/UF)</t>
    </r>
  </si>
  <si>
    <r>
      <t xml:space="preserve">Índice de ações realizadas destinadas à Assistência Técnica (%)
</t>
    </r>
    <r>
      <rPr>
        <b/>
        <sz val="12"/>
        <rFont val="Calibri"/>
        <family val="2"/>
        <scheme val="minor"/>
      </rPr>
      <t>(CAU/UF)</t>
    </r>
  </si>
  <si>
    <r>
      <t xml:space="preserve">Acessos à página do CAU (Qtd.)
</t>
    </r>
    <r>
      <rPr>
        <b/>
        <sz val="12"/>
        <rFont val="Calibri"/>
        <family val="2"/>
        <scheme val="minor"/>
      </rPr>
      <t>(CAU/UF)</t>
    </r>
  </si>
  <si>
    <r>
      <t xml:space="preserve">Índice de presença na mídia como um todo (%)
</t>
    </r>
    <r>
      <rPr>
        <b/>
        <sz val="12"/>
        <rFont val="Calibri"/>
        <family val="2"/>
        <scheme val="minor"/>
      </rPr>
      <t>(CAU/UF)</t>
    </r>
  </si>
  <si>
    <r>
      <t xml:space="preserve">Índice de inserções positivas na mídia (%)
</t>
    </r>
    <r>
      <rPr>
        <b/>
        <sz val="12"/>
        <rFont val="Calibri"/>
        <family val="2"/>
        <scheme val="minor"/>
      </rPr>
      <t>(CAU/UF)</t>
    </r>
  </si>
  <si>
    <r>
      <t xml:space="preserve">Índice de escolas que possuem disciplinas com conteúdo sobre a ética profissional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</si>
  <si>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na conclusão de processos éticos (%)
</t>
    </r>
    <r>
      <rPr>
        <b/>
        <sz val="12"/>
        <rFont val="Calibri"/>
        <family val="2"/>
        <scheme val="minor"/>
      </rPr>
      <t>(CAU/UF)</t>
    </r>
  </si>
  <si>
    <r>
      <t xml:space="preserve">Eficiência no trâmite de processos éticos (dias)
</t>
    </r>
    <r>
      <rPr>
        <b/>
        <sz val="12"/>
        <rFont val="Calibri"/>
        <family val="2"/>
        <scheme val="minor"/>
      </rPr>
      <t>(CAU/UF)</t>
    </r>
  </si>
  <si>
    <r>
      <t xml:space="preserve">Índice de RRT por população (1.000 habitantes) (%)
</t>
    </r>
    <r>
      <rPr>
        <b/>
        <sz val="12"/>
        <rFont val="Calibri"/>
        <family val="2"/>
        <scheme val="minor"/>
      </rPr>
      <t>(CAU/UF)</t>
    </r>
  </si>
  <si>
    <r>
      <t xml:space="preserve">Índice de RRT mínimos (%)
</t>
    </r>
    <r>
      <rPr>
        <b/>
        <sz val="12"/>
        <rFont val="Calibri"/>
        <family val="2"/>
        <scheme val="minor"/>
      </rPr>
      <t>(CAU/UF)</t>
    </r>
  </si>
  <si>
    <r>
      <t xml:space="preserve">Índice de RRT Social (%)
</t>
    </r>
    <r>
      <rPr>
        <b/>
        <sz val="12"/>
        <rFont val="Calibri"/>
        <family val="2"/>
        <scheme val="minor"/>
      </rPr>
      <t>(CAU/UF)</t>
    </r>
  </si>
  <si>
    <r>
      <t xml:space="preserve">Índice de receita por arquiteto e urbanista 
</t>
    </r>
    <r>
      <rPr>
        <b/>
        <sz val="12"/>
        <rFont val="Calibri"/>
        <family val="2"/>
        <scheme val="minor"/>
      </rPr>
      <t>(CAU/UF)</t>
    </r>
  </si>
  <si>
    <r>
      <t xml:space="preserve">Relação receita/custo total de pessoal (%)
</t>
    </r>
    <r>
      <rPr>
        <b/>
        <sz val="12"/>
        <rFont val="Calibri"/>
        <family val="2"/>
        <scheme val="minor"/>
      </rPr>
      <t>(CAU/UF)</t>
    </r>
  </si>
  <si>
    <r>
      <t xml:space="preserve">Índice de liquidez corrente 
</t>
    </r>
    <r>
      <rPr>
        <b/>
        <sz val="12"/>
        <rFont val="Calibri"/>
        <family val="2"/>
        <scheme val="minor"/>
      </rPr>
      <t>(CAU/UF)</t>
    </r>
  </si>
  <si>
    <r>
      <t xml:space="preserve">Índice de inadimplência pessoa física (%)
</t>
    </r>
    <r>
      <rPr>
        <b/>
        <sz val="12"/>
        <rFont val="Calibri"/>
        <family val="2"/>
        <scheme val="minor"/>
      </rPr>
      <t>(CAU/UF)</t>
    </r>
  </si>
  <si>
    <r>
      <t xml:space="preserve">Índice de inadimplência pessoa jurídica (%)
</t>
    </r>
    <r>
      <rPr>
        <b/>
        <sz val="12"/>
        <rFont val="Calibri"/>
        <family val="2"/>
        <scheme val="minor"/>
      </rPr>
      <t>(CAU/UF)</t>
    </r>
  </si>
  <si>
    <r>
      <t xml:space="preserve">Índice de mapeamento processos (%)
</t>
    </r>
    <r>
      <rPr>
        <b/>
        <sz val="12"/>
        <rFont val="Calibri"/>
        <family val="2"/>
        <scheme val="minor"/>
      </rPr>
      <t>(CAU/UF)</t>
    </r>
  </si>
  <si>
    <r>
      <t xml:space="preserve">Índice de normatização de processos (%)
</t>
    </r>
    <r>
      <rPr>
        <b/>
        <sz val="12"/>
        <rFont val="Calibri"/>
        <family val="2"/>
        <scheme val="minor"/>
      </rPr>
      <t>(CAU/UF)</t>
    </r>
  </si>
  <si>
    <r>
      <t xml:space="preserve">Índice de automação de processos (%)
</t>
    </r>
    <r>
      <rPr>
        <b/>
        <sz val="12"/>
        <rFont val="Calibri"/>
        <family val="2"/>
        <scheme val="minor"/>
      </rPr>
      <t>(CAU/UF)</t>
    </r>
  </si>
  <si>
    <r>
      <t xml:space="preserve">Média de horas de treinamento por colaboradores e dirigentes
</t>
    </r>
    <r>
      <rPr>
        <b/>
        <sz val="12"/>
        <rFont val="Calibri"/>
        <family val="2"/>
        <scheme val="minor"/>
      </rPr>
      <t>(CAU/UF)</t>
    </r>
  </si>
  <si>
    <r>
      <t>total de iniciativas executadas</t>
    </r>
    <r>
      <rPr>
        <b/>
        <sz val="12"/>
        <rFont val="Calibri"/>
        <family val="2"/>
        <scheme val="minor"/>
      </rPr>
      <t xml:space="preserve">                                                                       </t>
    </r>
  </si>
  <si>
    <r>
      <t>total de iniciativas planejadas</t>
    </r>
    <r>
      <rPr>
        <b/>
        <sz val="12"/>
        <rFont val="Calibri"/>
        <family val="2"/>
        <scheme val="minor"/>
      </rPr>
      <t xml:space="preserve">                                                                                  </t>
    </r>
  </si>
  <si>
    <r>
      <t xml:space="preserve">Índice de satisfação interna com a tecnologia utilizada (%)
</t>
    </r>
    <r>
      <rPr>
        <b/>
        <sz val="12"/>
        <rFont val="Calibri"/>
        <family val="2"/>
        <scheme val="minor"/>
      </rPr>
      <t>(CAU/UF)</t>
    </r>
  </si>
  <si>
    <r>
      <t xml:space="preserve">Índice de satisfação externa com a tecnologia utilizada (%)
</t>
    </r>
    <r>
      <rPr>
        <b/>
        <sz val="12"/>
        <rFont val="Calibri"/>
        <family val="2"/>
        <scheme val="minor"/>
      </rPr>
      <t>(CAU/UF)</t>
    </r>
  </si>
  <si>
    <t>LEGENDA: P = PROJETO/ A = ATIVIDADE/ PE = PROJETO ESPECÍFICO / FA = FUNDO DE APOIO</t>
  </si>
  <si>
    <t>P</t>
  </si>
  <si>
    <t>A</t>
  </si>
  <si>
    <t>PE</t>
  </si>
  <si>
    <t>P.</t>
  </si>
  <si>
    <t>A.</t>
  </si>
  <si>
    <t>PE.</t>
  </si>
  <si>
    <t>2. Receitas de Capital</t>
  </si>
  <si>
    <r>
      <t xml:space="preserve">Fiscalização
</t>
    </r>
    <r>
      <rPr>
        <b/>
        <sz val="12"/>
        <color rgb="FF006871"/>
        <rFont val="Calibri"/>
        <family val="2"/>
        <scheme val="minor"/>
      </rPr>
      <t xml:space="preserve">(mínimo de 15 % do total da RAL)  </t>
    </r>
    <r>
      <rPr>
        <b/>
        <sz val="12"/>
        <color rgb="FF009999"/>
        <rFont val="Calibri"/>
        <family val="2"/>
        <scheme val="minor"/>
      </rPr>
      <t xml:space="preserve">  </t>
    </r>
    <r>
      <rPr>
        <b/>
        <sz val="12"/>
        <color indexed="8"/>
        <rFont val="Calibri"/>
        <family val="2"/>
        <scheme val="minor"/>
      </rPr>
      <t xml:space="preserve">                                                                     </t>
    </r>
  </si>
  <si>
    <r>
      <t xml:space="preserve"> Despesas com Pessoal
</t>
    </r>
    <r>
      <rPr>
        <b/>
        <sz val="12"/>
        <color rgb="FF006871"/>
        <rFont val="Calibri"/>
        <family val="2"/>
        <scheme val="minor"/>
      </rPr>
      <t>(máximo de 55% sobre as Receitas Correntes)</t>
    </r>
  </si>
  <si>
    <r>
      <t xml:space="preserve">Atendimento
</t>
    </r>
    <r>
      <rPr>
        <b/>
        <sz val="12"/>
        <color rgb="FF006871"/>
        <rFont val="Calibri"/>
        <family val="2"/>
        <scheme val="minor"/>
      </rPr>
      <t>(mínimo de 10 % do total da RAL)</t>
    </r>
  </si>
  <si>
    <r>
      <t>Capacitação</t>
    </r>
    <r>
      <rPr>
        <b/>
        <sz val="12"/>
        <color indexed="10"/>
        <rFont val="Calibri"/>
        <family val="2"/>
        <scheme val="minor"/>
      </rPr>
      <t xml:space="preserve"> 
</t>
    </r>
    <r>
      <rPr>
        <b/>
        <sz val="12"/>
        <color rgb="FF006871"/>
        <rFont val="Calibri"/>
        <family val="2"/>
        <scheme val="minor"/>
      </rPr>
      <t>(mínimo de 2% e máximo de 4% da Folha de Pagamento)</t>
    </r>
    <r>
      <rPr>
        <b/>
        <sz val="12"/>
        <color theme="4" tint="-0.249977111117893"/>
        <rFont val="Calibri"/>
        <family val="2"/>
        <scheme val="minor"/>
      </rPr>
      <t xml:space="preserve">  </t>
    </r>
    <r>
      <rPr>
        <b/>
        <sz val="12"/>
        <rFont val="Calibri"/>
        <family val="2"/>
        <scheme val="minor"/>
      </rPr>
      <t xml:space="preserve">      </t>
    </r>
    <r>
      <rPr>
        <b/>
        <sz val="12"/>
        <color rgb="FF0070C0"/>
        <rFont val="Calibri"/>
        <family val="2"/>
        <scheme val="minor"/>
      </rPr>
      <t xml:space="preserve"> </t>
    </r>
    <r>
      <rPr>
        <b/>
        <sz val="12"/>
        <color indexed="57"/>
        <rFont val="Calibri"/>
        <family val="2"/>
        <scheme val="minor"/>
      </rPr>
      <t xml:space="preserve">         </t>
    </r>
  </si>
  <si>
    <r>
      <t xml:space="preserve">Comunicação
</t>
    </r>
    <r>
      <rPr>
        <b/>
        <sz val="12"/>
        <color rgb="FF006871"/>
        <rFont val="Calibri"/>
        <family val="2"/>
        <scheme val="minor"/>
      </rPr>
      <t>(mínimo de 3% do total da RAL)</t>
    </r>
    <r>
      <rPr>
        <b/>
        <sz val="12"/>
        <color rgb="FF0070C0"/>
        <rFont val="Calibri"/>
        <family val="2"/>
        <scheme val="minor"/>
      </rPr>
      <t xml:space="preserve">    </t>
    </r>
    <r>
      <rPr>
        <b/>
        <sz val="12"/>
        <color indexed="21"/>
        <rFont val="Calibri"/>
        <family val="2"/>
        <scheme val="minor"/>
      </rPr>
      <t xml:space="preserve">         </t>
    </r>
    <r>
      <rPr>
        <b/>
        <sz val="12"/>
        <color indexed="57"/>
        <rFont val="Calibri"/>
        <family val="2"/>
        <scheme val="minor"/>
      </rPr>
      <t xml:space="preserve">                                                                                </t>
    </r>
  </si>
  <si>
    <r>
      <t xml:space="preserve">Patrocínio
</t>
    </r>
    <r>
      <rPr>
        <b/>
        <sz val="12"/>
        <color rgb="FF006871"/>
        <rFont val="Calibri"/>
        <family val="2"/>
        <scheme val="minor"/>
      </rPr>
      <t>(máximo de 5% do total da RAL)</t>
    </r>
    <r>
      <rPr>
        <b/>
        <sz val="12"/>
        <color theme="4" tint="-0.249977111117893"/>
        <rFont val="Calibri"/>
        <family val="2"/>
        <scheme val="minor"/>
      </rPr>
      <t xml:space="preserve">   </t>
    </r>
    <r>
      <rPr>
        <b/>
        <sz val="12"/>
        <color indexed="10"/>
        <rFont val="Calibri"/>
        <family val="2"/>
        <scheme val="minor"/>
      </rPr>
      <t xml:space="preserve">      </t>
    </r>
    <r>
      <rPr>
        <b/>
        <sz val="12"/>
        <color indexed="8"/>
        <rFont val="Calibri"/>
        <family val="2"/>
        <scheme val="minor"/>
      </rPr>
      <t xml:space="preserve">                                                                            </t>
    </r>
  </si>
  <si>
    <r>
      <t xml:space="preserve">Objetivos Estratégicos Locais
</t>
    </r>
    <r>
      <rPr>
        <b/>
        <sz val="12"/>
        <color rgb="FF006871"/>
        <rFont val="Calibri"/>
        <family val="2"/>
        <scheme val="minor"/>
      </rPr>
      <t>(mínimo de 6 % do total da RAL)</t>
    </r>
    <r>
      <rPr>
        <b/>
        <sz val="12"/>
        <color theme="4" tint="-0.249977111117893"/>
        <rFont val="Calibri"/>
        <family val="2"/>
        <scheme val="minor"/>
      </rPr>
      <t xml:space="preserve"> </t>
    </r>
    <r>
      <rPr>
        <b/>
        <sz val="12"/>
        <color indexed="21"/>
        <rFont val="Calibri"/>
        <family val="2"/>
        <scheme val="minor"/>
      </rPr>
      <t xml:space="preserve">                        </t>
    </r>
  </si>
  <si>
    <r>
      <t xml:space="preserve">Assistência Técnica
</t>
    </r>
    <r>
      <rPr>
        <b/>
        <sz val="12"/>
        <color rgb="FF006871"/>
        <rFont val="Calibri"/>
        <family val="2"/>
        <scheme val="minor"/>
      </rPr>
      <t xml:space="preserve">(mínimo de 2% do total da RAL) </t>
    </r>
    <r>
      <rPr>
        <b/>
        <sz val="12"/>
        <color theme="1"/>
        <rFont val="Calibri"/>
        <family val="2"/>
        <scheme val="minor"/>
      </rPr>
      <t xml:space="preserve">   </t>
    </r>
  </si>
  <si>
    <r>
      <t xml:space="preserve">Reserva de Contingência
</t>
    </r>
    <r>
      <rPr>
        <b/>
        <sz val="12"/>
        <color rgb="FF006871"/>
        <rFont val="Calibri"/>
        <family val="2"/>
        <scheme val="minor"/>
      </rPr>
      <t xml:space="preserve">(até 2 % do total da RAL)   </t>
    </r>
    <r>
      <rPr>
        <b/>
        <sz val="12"/>
        <color indexed="21"/>
        <rFont val="Calibri"/>
        <family val="2"/>
        <scheme val="minor"/>
      </rPr>
      <t xml:space="preserve">           </t>
    </r>
  </si>
  <si>
    <t>TO</t>
  </si>
  <si>
    <t>SP</t>
  </si>
  <si>
    <t>SE</t>
  </si>
  <si>
    <t>SC</t>
  </si>
  <si>
    <t>RS</t>
  </si>
  <si>
    <t>RR</t>
  </si>
  <si>
    <t>RO</t>
  </si>
  <si>
    <t>RN</t>
  </si>
  <si>
    <t>RJ</t>
  </si>
  <si>
    <t>PR</t>
  </si>
  <si>
    <t>PI</t>
  </si>
  <si>
    <t>PB</t>
  </si>
  <si>
    <t>PA</t>
  </si>
  <si>
    <t>RRT - Quantidade</t>
  </si>
  <si>
    <t>MT</t>
  </si>
  <si>
    <t>PJ - Inadimplência</t>
  </si>
  <si>
    <t>MS</t>
  </si>
  <si>
    <t>PJ - Quantidade</t>
  </si>
  <si>
    <t>MG</t>
  </si>
  <si>
    <t>PF - Inadimplência</t>
  </si>
  <si>
    <t>1.1.3 Taxas e Multas</t>
  </si>
  <si>
    <t>MA</t>
  </si>
  <si>
    <t>GO</t>
  </si>
  <si>
    <t>Quantidades e Inadimplência</t>
  </si>
  <si>
    <t>ES</t>
  </si>
  <si>
    <t>DF</t>
  </si>
  <si>
    <t>Superávit Financeiro 2020</t>
  </si>
  <si>
    <t>CE</t>
  </si>
  <si>
    <t>Encontro de Contas</t>
  </si>
  <si>
    <t>BA</t>
  </si>
  <si>
    <t>Fundo de Apoio - Plenárias Ampliadas</t>
  </si>
  <si>
    <t>AP</t>
  </si>
  <si>
    <t>Fundo de Apoio - APORTE</t>
  </si>
  <si>
    <t>AM</t>
  </si>
  <si>
    <t>CSC - SISCAF</t>
  </si>
  <si>
    <t>AL</t>
  </si>
  <si>
    <t>CSC - Atendimento</t>
  </si>
  <si>
    <t>AC</t>
  </si>
  <si>
    <t>CSC - Fiscalização</t>
  </si>
  <si>
    <t>Quantitativo</t>
  </si>
  <si>
    <t>Inadimplência</t>
  </si>
  <si>
    <t>Taxas Bancárias
(Outras Receitas)</t>
  </si>
  <si>
    <t>Manutenção</t>
  </si>
  <si>
    <t>Atendimento</t>
  </si>
  <si>
    <t>Fiscalização</t>
  </si>
  <si>
    <t>Repasse do Fundo de Apoio</t>
  </si>
  <si>
    <t>Utilização com Plenárias Ampliadas</t>
  </si>
  <si>
    <t>Aporte ao
Fundo de Apoio</t>
  </si>
  <si>
    <t>Reprogramação</t>
  </si>
  <si>
    <t>Exercícios Anteriores</t>
  </si>
  <si>
    <t>Exercício</t>
  </si>
  <si>
    <t>Demais valores a checar</t>
  </si>
  <si>
    <t>Fontes de Receitas Correntes (80%)</t>
  </si>
  <si>
    <t>Superávit financiero
apurado em 2020</t>
  </si>
  <si>
    <t>RRT</t>
  </si>
  <si>
    <t>PJ</t>
  </si>
  <si>
    <t>PF</t>
  </si>
  <si>
    <t>Taxas</t>
  </si>
  <si>
    <t>Informações para os Indicadores</t>
  </si>
  <si>
    <t>Ressarcimento</t>
  </si>
  <si>
    <t>SISCAF</t>
  </si>
  <si>
    <t>CSC</t>
  </si>
  <si>
    <t>Fundo de Apoio</t>
  </si>
  <si>
    <t>UF</t>
  </si>
  <si>
    <t>Reprogramação 
2022</t>
  </si>
  <si>
    <t>Ativos</t>
  </si>
  <si>
    <t>Potencial Pagantes</t>
  </si>
  <si>
    <t>Pessoas e Infraestrutura</t>
  </si>
  <si>
    <t>Processos Internos</t>
  </si>
  <si>
    <t>Qde.</t>
  </si>
  <si>
    <t>Part. %</t>
  </si>
  <si>
    <t>Total Iniciativas</t>
  </si>
  <si>
    <t>Atividade</t>
  </si>
  <si>
    <t>Projeto</t>
  </si>
  <si>
    <t>Projetos/Objetivos Estratégicos</t>
  </si>
  <si>
    <t>Perspectivas</t>
  </si>
  <si>
    <t>Projeto Específico</t>
  </si>
  <si>
    <t>Objetivos Locais</t>
  </si>
  <si>
    <t>selecione abaixo</t>
  </si>
  <si>
    <t>PF - Ativos</t>
  </si>
  <si>
    <t>PF - Potencial Pagantes</t>
  </si>
  <si>
    <t>nº da coluna</t>
  </si>
  <si>
    <t>População estimada 2021</t>
  </si>
  <si>
    <t>Dados Geográficos</t>
  </si>
  <si>
    <t>População - 2021</t>
  </si>
  <si>
    <t>gerplan2022</t>
  </si>
  <si>
    <t xml:space="preserve">Part. %
 (E)           </t>
  </si>
  <si>
    <t>A - FONTES</t>
  </si>
  <si>
    <t>-</t>
  </si>
  <si>
    <t xml:space="preserve">CAU/UF:  </t>
  </si>
  <si>
    <r>
      <t xml:space="preserve">Orientações para preenchimento da </t>
    </r>
    <r>
      <rPr>
        <b/>
        <i/>
        <u/>
        <sz val="11"/>
        <color rgb="FFFF0000"/>
        <rFont val="Calibri"/>
        <family val="2"/>
        <scheme val="minor"/>
      </rPr>
      <t>planilha auxiliar</t>
    </r>
    <r>
      <rPr>
        <b/>
        <i/>
        <sz val="11"/>
        <color theme="1"/>
        <rFont val="Calibri"/>
        <family val="2"/>
        <scheme val="minor"/>
      </rPr>
      <t xml:space="preserve"> do Relatório de Gestão - Exercício 2021</t>
    </r>
  </si>
  <si>
    <r>
      <t>1) O valor da "Programação 2021": usar o último valor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i/>
        <u/>
        <sz val="11"/>
        <color rgb="FFFF0000"/>
        <rFont val="Calibri"/>
        <family val="2"/>
        <scheme val="minor"/>
      </rPr>
      <t>APROVADO</t>
    </r>
    <r>
      <rPr>
        <b/>
        <i/>
        <sz val="11"/>
        <color theme="1"/>
        <rFont val="Calibri"/>
        <family val="2"/>
        <scheme val="minor"/>
      </rPr>
      <t xml:space="preserve"> no parecer do Plano de Ação do Exercício de 2021, sem transposição.</t>
    </r>
  </si>
  <si>
    <r>
      <t xml:space="preserve">2) O valor do "Programação  com Transposição (Orçado) 2021": retirar do SISCONT. NET, no caminho "Centro de Custos&gt; Relatórios&gt; Demonstrativo de empenhos/pagamentos"; período de  01/01/2021 até 31/12/2021; na coluna </t>
    </r>
    <r>
      <rPr>
        <b/>
        <i/>
        <u/>
        <sz val="11"/>
        <color rgb="FFFF0000"/>
        <rFont val="Calibri"/>
        <family val="2"/>
        <scheme val="minor"/>
      </rPr>
      <t>ORÇADO.</t>
    </r>
  </si>
  <si>
    <r>
      <t xml:space="preserve">4) O valor das "Receitas realizadas 2021": retirar do SISCONT. NET, no caminho:  "Contabilidade&gt; Relatórios&gt; Balanço Orçamentário"; período de 01/01/2021 até 31/12/2021; na coluna </t>
    </r>
    <r>
      <rPr>
        <b/>
        <i/>
        <u/>
        <sz val="11"/>
        <color rgb="FFFF0000"/>
        <rFont val="Calibri"/>
        <family val="2"/>
        <scheme val="minor"/>
      </rPr>
      <t>RECEITAS REALIZADAS.</t>
    </r>
  </si>
  <si>
    <t>Meta 2021 - Alcançada</t>
  </si>
  <si>
    <t>Meta Prevista
Reprogramação
2021</t>
  </si>
  <si>
    <t>Meta alcançada  2020</t>
  </si>
  <si>
    <t>Meta alcançada  2019</t>
  </si>
  <si>
    <t>Os resultados podem ser apresentados na forma de tabelas e gráficos dos principais indicadores, contendo as metas atingidas nos últimos exercícios, possibilitando a visualização de suas evoluções ao longo do tempo, além de metas para o próximo exercício.</t>
  </si>
  <si>
    <t>NOTA 1:</t>
  </si>
  <si>
    <t>Efetividade</t>
  </si>
  <si>
    <t>"Não Realizado</t>
  </si>
  <si>
    <t>P/A/PE
P./A./PE.</t>
  </si>
  <si>
    <t>Resultado Previsto</t>
  </si>
  <si>
    <t>Reprogramação 
2021
 (A)</t>
  </si>
  <si>
    <t>Indicadores Institucionais e de Resultado (agrupados por objetivo estratégico) - Relatório de Gestão - Exercício 2021</t>
  </si>
  <si>
    <t>Quadro Geral - Relatório de Gestão - Exercício 2021</t>
  </si>
  <si>
    <t>Demonstrativo das Fontes - Relatório de Gestão - Exercício 2021</t>
  </si>
  <si>
    <t xml:space="preserve"> Limites de Aplicação dos Recursos Estratégicos - Relatório de Gestão - Exercício 2021</t>
  </si>
  <si>
    <t>Receitas Realizadas                    2021                              (B)</t>
  </si>
  <si>
    <t>Execução</t>
  </si>
  <si>
    <t>%       
 (C=B/A)</t>
  </si>
  <si>
    <t>Execução
(%)</t>
  </si>
  <si>
    <t>Executado
2021</t>
  </si>
  <si>
    <t>Reprogramação 
2021</t>
  </si>
  <si>
    <r>
      <rPr>
        <b/>
        <sz val="16"/>
        <color theme="1"/>
        <rFont val="Calibri"/>
        <family val="2"/>
        <scheme val="minor"/>
      </rPr>
      <t>OBS 1: Deverá justificar no caso de</t>
    </r>
    <r>
      <rPr>
        <b/>
        <u/>
        <sz val="16"/>
        <color rgb="FF0070C0"/>
        <rFont val="Calibri"/>
        <family val="2"/>
        <scheme val="minor"/>
      </rPr>
      <t xml:space="preserve"> inobservância</t>
    </r>
    <r>
      <rPr>
        <b/>
        <sz val="16"/>
        <color theme="1"/>
        <rFont val="Calibri"/>
        <family val="2"/>
        <scheme val="minor"/>
      </rPr>
      <t xml:space="preserve"> de aplicação dos percentuais:</t>
    </r>
    <r>
      <rPr>
        <b/>
        <sz val="12"/>
        <color theme="1"/>
        <rFont val="Calibri"/>
        <family val="2"/>
        <scheme val="minor"/>
      </rPr>
      <t xml:space="preserve">
Atendimento - mínimo de 10% da RAL
Fiscalização – mínimo de 15% da RAL
Despesa com pessoal – até 55% das receitas correntes
Comunicação - mínimo de 3% da RAL
Objetivos Locais - mínimo de 6% da RAL
Patrocínios - máximo de 5% da RAL
ATHIS - mínimo de 2% da RAL
Capacitação – mínimo de 2% e máximo de 4% da folha de pagamento</t>
    </r>
  </si>
  <si>
    <t xml:space="preserve">JUSTIFICATIVA - </t>
  </si>
  <si>
    <r>
      <t xml:space="preserve">3) O valor do "Executado 2021": retirar do SISCONT. NET, no caminho "Centro de Custos&gt; Relatórios&gt; Demonstrativo de empenhos/pagamentos"; período de  01/01/2021 até 31/12/2021; na coluna </t>
    </r>
    <r>
      <rPr>
        <b/>
        <i/>
        <u/>
        <sz val="11"/>
        <color rgb="FFFF0000"/>
        <rFont val="Calibri"/>
        <family val="2"/>
        <scheme val="minor"/>
      </rPr>
      <t xml:space="preserve">EMPENHO, </t>
    </r>
    <r>
      <rPr>
        <b/>
        <i/>
        <sz val="11"/>
        <rFont val="Calibri"/>
        <family val="2"/>
        <scheme val="minor"/>
      </rPr>
      <t xml:space="preserve">ou "Contabilidade&gt; Relatórios&gt; Balanço Orçamentário"; período de 01/01/2021 até 31/12/2021; na coluna </t>
    </r>
    <r>
      <rPr>
        <b/>
        <i/>
        <u/>
        <sz val="11"/>
        <color rgb="FFFF0000"/>
        <rFont val="Calibri"/>
        <family val="2"/>
        <scheme val="minor"/>
      </rPr>
      <t>DESPESAS   EMPENHADAS .</t>
    </r>
  </si>
  <si>
    <t xml:space="preserve">NOTA 2: </t>
  </si>
  <si>
    <t>Reprogramação                    2021                                     (A)</t>
  </si>
  <si>
    <t>Reprogramação   com transposição                 2021                                     (B)</t>
  </si>
  <si>
    <t>Executado                        2021                             (C)</t>
  </si>
  <si>
    <t>% 
(E=C/B *100)</t>
  </si>
  <si>
    <t>NOTA 3:</t>
  </si>
  <si>
    <r>
      <t>1. O valor do "Executado 2021-</t>
    </r>
    <r>
      <rPr>
        <b/>
        <sz val="12"/>
        <color theme="1"/>
        <rFont val="Calibri"/>
        <family val="2"/>
        <scheme val="minor"/>
      </rPr>
      <t>DESPESAS</t>
    </r>
    <r>
      <rPr>
        <sz val="12"/>
        <color theme="1"/>
        <rFont val="Calibri"/>
        <family val="2"/>
        <scheme val="minor"/>
      </rPr>
      <t>": retirar do SISCONT. NET, no caminho "Centro de Custos&gt; Relatórios&gt; Demonstrativo de empenhos/pagamentos"; período de  01/01/2021 até 31/12/2021; na coluna EMPENHO, ou "Contabilidade&gt; Relatórios&gt; Balanço Orçamentário"; período de 01/01/2021 até 31/12/2021; na coluna DESPESAS   EMPENHADAS .</t>
    </r>
  </si>
  <si>
    <r>
      <t>2. O valor das "Executado 2021-</t>
    </r>
    <r>
      <rPr>
        <b/>
        <sz val="12"/>
        <color theme="1"/>
        <rFont val="Calibri"/>
        <family val="2"/>
        <scheme val="minor"/>
      </rPr>
      <t>RECEITAS</t>
    </r>
    <r>
      <rPr>
        <sz val="12"/>
        <color theme="1"/>
        <rFont val="Calibri"/>
        <family val="2"/>
        <scheme val="minor"/>
      </rPr>
      <t>": retirar do SISCONT. NET, no caminho:  "Contabilidade&gt; Relatórios&gt; Balanço Orçamentário"; período de 01/01/2021 até 31/12/2021; na coluna RECEITAS REALIZADAS.</t>
    </r>
  </si>
  <si>
    <t>3. Incluir as justificativas da inobservância dos limites não alcançados e a base dos valores das rescisões contratuais, auxílio alimentação, auxílio transporte, plano de saúde e demais benefícios.</t>
  </si>
  <si>
    <t>5) Usar o último arquivo do Parecer da Reprogamação 2021 homologado pelo Plenário do CAU/BR e enviado pela GERPLAN  em  2021.</t>
  </si>
  <si>
    <t>O valor das "Receitas realizadas 2021": retirar do SISCONT. NET, no caminho:  "Contabilidade&gt; Relatórios&gt; Balanço Orçamentário"; período de 01/01/2021 até 31/12/2021; na coluna RECEITAS REALIZADAS.
SUGESTÃO: Baixar o arquivo do Siscont.NET em "EXCEL" e incluir como uma nova aba nesta planilha Auxiliar.</t>
  </si>
  <si>
    <t>1.1.1.1.1 Anuidade do Exercício 2021</t>
  </si>
  <si>
    <t>1.1.1.2.1 Anuidade do Exercício 2021</t>
  </si>
  <si>
    <t>CAU - SE</t>
  </si>
  <si>
    <t>Conselho de Arquitetura e Urbanismo do Estado de Sergipe</t>
  </si>
  <si>
    <t>CNPJ: 14.817.219/0001-92</t>
  </si>
  <si>
    <t>Período: 01/01/2021 a 31/12/2021</t>
  </si>
  <si>
    <t>Balanço Orçamentário</t>
  </si>
  <si>
    <t>RECEITAS ORÇAMENTÁRIAS</t>
  </si>
  <si>
    <t xml:space="preserve"> </t>
  </si>
  <si>
    <t>PREVISÃO INICIAL</t>
  </si>
  <si>
    <t>PREVISÃO ATUALIZADA</t>
  </si>
  <si>
    <t>RECEITAS REALIZADAS</t>
  </si>
  <si>
    <t>SALDO</t>
  </si>
  <si>
    <t xml:space="preserve">RECEITA CORRENTE </t>
  </si>
  <si>
    <t>RECEITAS DE CONTRIBUICOES</t>
  </si>
  <si>
    <t>RECEITA DE CONTRIBUIÇÕES</t>
  </si>
  <si>
    <t>ANUIDADES</t>
  </si>
  <si>
    <t xml:space="preserve">Pessoa Física - do Exercício </t>
  </si>
  <si>
    <t xml:space="preserve">Pessoa Física - do Exercício Anterior  </t>
  </si>
  <si>
    <t>Pessoa Jurídica - do Exercicio</t>
  </si>
  <si>
    <t>Pessoa Jurídica - do Exercício Anterior</t>
  </si>
  <si>
    <t>RECEITA DE SERVIÇOS</t>
  </si>
  <si>
    <t xml:space="preserve">EMOLUMENTOS COM EXPEDIÇÕES DE CERTIDÕES </t>
  </si>
  <si>
    <t>Pessoa Física</t>
  </si>
  <si>
    <t xml:space="preserve">EMOLUMENTOS COM REGISTRO DE RESPONSABILIDADE TÉCNICA - RRT </t>
  </si>
  <si>
    <t>Pessoa Física - RRT</t>
  </si>
  <si>
    <t xml:space="preserve">FINANCEIRAS </t>
  </si>
  <si>
    <t xml:space="preserve">JUROS DE MORA SOBRE ANUIDADES </t>
  </si>
  <si>
    <t>Pessoas Físicas</t>
  </si>
  <si>
    <t xml:space="preserve">ATUALIZAÇÃO MONETÁRIA </t>
  </si>
  <si>
    <t xml:space="preserve">MULTAS SOBRE ANUIDADES </t>
  </si>
  <si>
    <t>Pessoas Jurídicas</t>
  </si>
  <si>
    <t xml:space="preserve">REMUNERAÇÃO DE DEP. BANC. E APLICAÇÕES FINANCEIRAS </t>
  </si>
  <si>
    <t>CDB/RDB - Titulos de Renda Fixa</t>
  </si>
  <si>
    <t>TRANSFERENCIAS CORRENTES</t>
  </si>
  <si>
    <t>Transferencias Intragovernamentais</t>
  </si>
  <si>
    <t>OUTRAS RECEITAS CORRENTES</t>
  </si>
  <si>
    <t xml:space="preserve">MULTAS DE INFRAÇÕES </t>
  </si>
  <si>
    <t xml:space="preserve">INDENIZAÇÕES E RESTITUIÇÕES </t>
  </si>
  <si>
    <t xml:space="preserve">Indenizações </t>
  </si>
  <si>
    <t xml:space="preserve">Restituições </t>
  </si>
  <si>
    <t>RECEITA DE CAPITAL</t>
  </si>
  <si>
    <t>OUTRAS RECEITAS DE CAPITAL</t>
  </si>
  <si>
    <t>SUPERÁVIT DO EXERCÍCIO CORRENTE</t>
  </si>
  <si>
    <t>SALDO DE EXERCÍCIOS ANTERIORES (Superávit do Orçamento Corrente)</t>
  </si>
  <si>
    <t>RECURSOS ARRECADADOS EM EXERCÍCIOS ANTERIORES</t>
  </si>
  <si>
    <t>SUB-TOTAL DAS RECEITAS</t>
  </si>
  <si>
    <t>DÉFICIT</t>
  </si>
  <si>
    <t>DESPESAS   ORÇAMENTÁRIAS</t>
  </si>
  <si>
    <t>DOTAÇÃO   INICIAL</t>
  </si>
  <si>
    <t>DOTAÇÃO   ATUALIZADA</t>
  </si>
  <si>
    <t>DESPESAS   EMPENHADAS</t>
  </si>
  <si>
    <t>DESPESAS  LIQUIDADAS</t>
  </si>
  <si>
    <t>DESPESAS    PAGAS</t>
  </si>
  <si>
    <t>SALDO     DOTAÇÃO</t>
  </si>
  <si>
    <t>DESPESA CORRENTE</t>
  </si>
  <si>
    <t>PESSOAL</t>
  </si>
  <si>
    <t>PESSOAL E ENCARGOS</t>
  </si>
  <si>
    <t>REMUNERAÇÃO PESSOAL</t>
  </si>
  <si>
    <t>Salários</t>
  </si>
  <si>
    <t>Gratificação de Função</t>
  </si>
  <si>
    <t>Gratificação de Natal - 13º Salário</t>
  </si>
  <si>
    <t>1/3 de Férias - CF/88</t>
  </si>
  <si>
    <t>ENCARGOS SOCIAIS</t>
  </si>
  <si>
    <t>INSS Patronal</t>
  </si>
  <si>
    <t>FGTS</t>
  </si>
  <si>
    <t xml:space="preserve">PIS s/ Folha de Pagamento </t>
  </si>
  <si>
    <t>BENEFÍCIOS A PESSOAL</t>
  </si>
  <si>
    <t>Vale Transporte</t>
  </si>
  <si>
    <t>Programa de Alimentação ao Trabalhador - PAT</t>
  </si>
  <si>
    <t>DIÁRIAS</t>
  </si>
  <si>
    <t>Funcionários</t>
  </si>
  <si>
    <t>MATERIAL DE CONSUMO</t>
  </si>
  <si>
    <t>Material de Expediente</t>
  </si>
  <si>
    <t>Material de Informática</t>
  </si>
  <si>
    <t>Combustíveis e Lubrificantes</t>
  </si>
  <si>
    <t>Outros Materiais de Consumo</t>
  </si>
  <si>
    <t>SERVIÇOS DE TERCEIROS - PESSOA FÍSICA</t>
  </si>
  <si>
    <t>REMUNERAÇÃO DE SERVIÇOS PESSOAIS</t>
  </si>
  <si>
    <t>Remuneração de Serviços Pessoais</t>
  </si>
  <si>
    <t>Remuneração de Estagiários</t>
  </si>
  <si>
    <t>Conselheiros/Convidados</t>
  </si>
  <si>
    <t>SERVIÇOS DE TERCEIROS - PESSOA JURÍDICA</t>
  </si>
  <si>
    <t>SERVIÇOS DE CONSULTORIA</t>
  </si>
  <si>
    <t>Consultoria Jurídica</t>
  </si>
  <si>
    <t>Outras Consultorias</t>
  </si>
  <si>
    <t>SERVIÇOS DE COMUNICAÇÃO E DIVULGAÇÃO</t>
  </si>
  <si>
    <t xml:space="preserve">Divulgação em Jornais e Revistas </t>
  </si>
  <si>
    <t>SERVIÇOS PRESTADOS</t>
  </si>
  <si>
    <t>Serviços de Medicina do Trabalho</t>
  </si>
  <si>
    <t>Serviços de Seleção, Trein. e Orient. Profissional</t>
  </si>
  <si>
    <t>Serviços de Intermediação de Estágios</t>
  </si>
  <si>
    <t>Serviços de Apoio Administrativo e Operacional</t>
  </si>
  <si>
    <t xml:space="preserve">Seguros de Bens Imóveis </t>
  </si>
  <si>
    <t xml:space="preserve">Locação de Bens Imóveis </t>
  </si>
  <si>
    <t>Serviços de Reparos, Adapt. e Conserv de Bens Móveis e Imóveis</t>
  </si>
  <si>
    <t>Serviços de Energia Elétrica e Gás</t>
  </si>
  <si>
    <t>Serviços de Água e Esgoto</t>
  </si>
  <si>
    <t>Serviços de Correios e Telégrafos</t>
  </si>
  <si>
    <t>Assinaturas e Periódicos</t>
  </si>
  <si>
    <t>Serviços Gráficos</t>
  </si>
  <si>
    <t>Despesas com Telecomunicações</t>
  </si>
  <si>
    <t>Serviços de Transporte</t>
  </si>
  <si>
    <t>Serviços de Segurança Predial e Preventiva</t>
  </si>
  <si>
    <t>Despesas Miúdas de Pronto Pagamento</t>
  </si>
  <si>
    <t>Outras Despesas</t>
  </si>
  <si>
    <t>PASSAGENS</t>
  </si>
  <si>
    <t>ENCARGOS DIVERSOS</t>
  </si>
  <si>
    <t>Despesas Judiciais</t>
  </si>
  <si>
    <t>Impostos e Taxas</t>
  </si>
  <si>
    <t>Taxas Bancárias</t>
  </si>
  <si>
    <t>TRANSFERÊNCIAS CORRENTES</t>
  </si>
  <si>
    <t>FUNDO DE APOIO AO CAU-UF</t>
  </si>
  <si>
    <t>Fundo Nacional de Apoio aos CAU UF</t>
  </si>
  <si>
    <t>CONVÊNIOS, CONTRATOS E PATROCÍNIO</t>
  </si>
  <si>
    <t>Centro de Serviços Compartilhados - CSC</t>
  </si>
  <si>
    <t>CRÉDITO DISPONÍVEL DESPESA DE CAPITAL</t>
  </si>
  <si>
    <t>INVESTIMENTOS</t>
  </si>
  <si>
    <t xml:space="preserve">EQUIPAMENTOS E MATERIAIS PERMANENTES </t>
  </si>
  <si>
    <t xml:space="preserve">Máquinas e Equipamentos </t>
  </si>
  <si>
    <t>INVERSÕES FINANCEIRAS</t>
  </si>
  <si>
    <t xml:space="preserve">Móveis e Utensílios </t>
  </si>
  <si>
    <t>SUB-TOTAL DAS DESPESAS</t>
  </si>
  <si>
    <t>SUPERÁVIT</t>
  </si>
  <si>
    <t>Página:1/1</t>
  </si>
  <si>
    <t>Evite imprimir. Colabore com o meio ambiente.</t>
  </si>
  <si>
    <t>Fiscalização CAU/SE</t>
  </si>
  <si>
    <t>Gestão Administrativa e Financeira</t>
  </si>
  <si>
    <t>Comunicação CAU/SE</t>
  </si>
  <si>
    <t>Atendimento e Relações Profissionais</t>
  </si>
  <si>
    <t>Manutenção da Presidência</t>
  </si>
  <si>
    <t>Serviços Compartilhados para a Fiscalização - CSC</t>
  </si>
  <si>
    <t>Serviços Compartilhados para o Atendimento - CSC</t>
  </si>
  <si>
    <t>Centro de Serviços Compartilhados - SISCAF</t>
  </si>
  <si>
    <t>Aporte Fundo de Apoio</t>
  </si>
  <si>
    <t>Reuniões Plenárias Ampliadas</t>
  </si>
  <si>
    <t>Comissões Permanentes</t>
  </si>
  <si>
    <t xml:space="preserve">Patrocínio de Ações e Interinstitucionais </t>
  </si>
  <si>
    <t>Reserva de Contingência</t>
  </si>
  <si>
    <t>Capacitação e Desenvolvimento Humano</t>
  </si>
  <si>
    <t>Projeto ATHIS Sergipe</t>
  </si>
  <si>
    <t>Projeto ATHIS Sergipe (Complementação)</t>
  </si>
  <si>
    <t>Bens Móveis e Imóveis</t>
  </si>
  <si>
    <t xml:space="preserve">Diretora Administrativa e Financeira </t>
  </si>
  <si>
    <t xml:space="preserve">Presidência </t>
  </si>
  <si>
    <t>Manutenção do setor de Fiscalização do CAU/SE, garantindo atuação estratégica, com eficácia e eficiência.</t>
  </si>
  <si>
    <t>Manutenção da infraestrutura e pleno funcionamento do Conselho, gestão e aprimoramento de processos e ações do CAU SE</t>
  </si>
  <si>
    <t>Promoção, divulgação e transparência das ações do Conselho, tornando a comunicação do CAU eficiente com o público alvo.</t>
  </si>
  <si>
    <t>Disponibilidade de 1 técnico de atendimento na sede do CAU nos dias úteis; atendimento de 90% das demandas de profissionais em até 30 dias</t>
  </si>
  <si>
    <t>Gestão eficiente dos recursos humanos, materiais e financeiros, valorizando, fortalecendo e intensificando as ações do CAU junto aos profissionais, ao poder público e a sociedade sergipana.</t>
  </si>
  <si>
    <t>Registro de 100% das atividades e ações desenvolvidas, com disponibilidade imediata e confiabilidade das informações</t>
  </si>
  <si>
    <t>Disponibilidade de sistemas de gestão e interlocução com profissionais e sociedade em geral, bem como com o CAU BR e demais unidades federativas</t>
  </si>
  <si>
    <t xml:space="preserve">Registro e controle de 100% das cobranças e inadimplência de anuidades e outro débitos de pessoas físicas e jurídicas junto ao Conselho. </t>
  </si>
  <si>
    <t>Contribuição ao fundo de apoio destinado ao suporte para manutenção de uma unidade do conselho em cada unidade federativa do país.</t>
  </si>
  <si>
    <t>Participação do Presidente em 04 reuniões plenárias ampliadas no CAU BR em 2021</t>
  </si>
  <si>
    <t xml:space="preserve">Estimulo a inserção e promoção  de disciplinas de ética junto as novas instituições de ensino de arquitetura, bem como o desenvolvimento de ações que  fortaleçam  o relacionamento com Instituições com missão singular a do Conselho, e ainda a analise célere de processos éticos </t>
  </si>
  <si>
    <t>Apoiar a uma ou mais ações de instituições parceiras em 2021, fortalecendo o relacionamento interinstitucional</t>
  </si>
  <si>
    <t>Disponibilidade de recursos para eventuais ações estratégicas e/ou operacionais não prevista quando da elaboração do planejamento</t>
  </si>
  <si>
    <t>Participação de funcionários e gestores em eventos e capacitações que favoreçam aquisição de conhecimentos, visando aprimorar e desenvolver processos e ações mais eficazes para o Conselho</t>
  </si>
  <si>
    <t>Promover atendimento qualificado aos profissionais, bem como, a toda a Sociedade.</t>
  </si>
  <si>
    <t>Aquisição de 03 aparelhos de ar-condicionado, mobiliário (06 cadeiras; 02 mesas; 02 armários), bem como, letreiro e totens de identificação visual para nova sede.</t>
  </si>
  <si>
    <t>Demonstrativo de Empenhos e Pagamentos</t>
  </si>
  <si>
    <t>EMPENHOS</t>
  </si>
  <si>
    <t>LIQUIDAÇÕES</t>
  </si>
  <si>
    <t>PAGAMENTOS</t>
  </si>
  <si>
    <t>SALDOS</t>
  </si>
  <si>
    <t>Orçado</t>
  </si>
  <si>
    <t>Período</t>
  </si>
  <si>
    <t>Orçamento</t>
  </si>
  <si>
    <t>A Liquidar</t>
  </si>
  <si>
    <t>A Pagar</t>
  </si>
  <si>
    <t>6.2.2.1.1.01 - DESPESA CORRENTE</t>
  </si>
  <si>
    <t>6.2.2.1.1.01.01 - PESSOAL</t>
  </si>
  <si>
    <t>6.2.2.1.1.01.01.01 - PESSOAL E ENCARGOS</t>
  </si>
  <si>
    <t>6.2.2.1.1.01.01.01.001 - REMUNERAÇÃO PESSOAL</t>
  </si>
  <si>
    <t>6.2.2.1.1.01.01.01.001.001 - Salários</t>
  </si>
  <si>
    <t>1 - UNIDADES OPERACIONAIS</t>
  </si>
  <si>
    <t>1.01 - GABINETE PRESIDÊNCIA</t>
  </si>
  <si>
    <t>1.01.03 - ATIVIDADE - Comunicação Cau/Se</t>
  </si>
  <si>
    <t>1.02 - GERÊNCIA GERAL</t>
  </si>
  <si>
    <t>1.02.01 - ATIVIDADE - Gestão Administrativa e Financeira Cau/Se</t>
  </si>
  <si>
    <t>1.03 - GERÊNCIA TÉCNICA</t>
  </si>
  <si>
    <t>1.03.01 - ATIVIDADE - Fiscalização Cau/Se</t>
  </si>
  <si>
    <t>1.03.02 - ATIVIDADE - Atendimento e Relações Profissionais</t>
  </si>
  <si>
    <t>6.2.2.1.1.01.01.01.001.002 - Gratificação de Função</t>
  </si>
  <si>
    <t>6.2.2.1.1.01.01.01.001.003 - Gratificação de Natal - 13º Salário</t>
  </si>
  <si>
    <t>6.2.2.1.1.01.01.01.001.005 - 1/3 de Férias - CF/88</t>
  </si>
  <si>
    <t>6.2.2.1.1.01.01.01.002 - ENCARGOS SOCIAIS</t>
  </si>
  <si>
    <t>6.2.2.1.1.01.01.01.002.001 - INSS Patronal</t>
  </si>
  <si>
    <t>6.2.2.1.1.01.01.01.002.002 - FGTS</t>
  </si>
  <si>
    <t xml:space="preserve">6.2.2.1.1.01.01.01.002.003 - PIS s/ Folha de Pagamento </t>
  </si>
  <si>
    <t>6.2.2.1.1.01.01.01.003 - BENEFÍCIOS A PESSOAL</t>
  </si>
  <si>
    <t>6.2.2.1.1.01.01.01.003.001 - Vale Transporte</t>
  </si>
  <si>
    <t>6.2.2.1.1.01.01.01.003.002 - Programa de Alimentação ao Trabalhador - PAT</t>
  </si>
  <si>
    <t>6.2.2.1.1.01.02 - MATERIAL DE CONSUMO</t>
  </si>
  <si>
    <t>6.2.2.1.1.01.02.01 - MATERIAL DE CONSUMO</t>
  </si>
  <si>
    <t>6.2.2.1.1.01.02.01.001 - Material de Expediente</t>
  </si>
  <si>
    <t>6.2.2.1.1.01.02.01.003 - Material de Informática</t>
  </si>
  <si>
    <t>6.2.2.1.1.01.02.01.011 - Combustíveis e Lubrificantes</t>
  </si>
  <si>
    <t>1.01.01 - ATIVIDADE - Manutenção da Presidência Cau/Se</t>
  </si>
  <si>
    <t>6.2.2.1.1.01.03 - SERVIÇOS DE TERCEIROS - PESSOA FÍSICA</t>
  </si>
  <si>
    <t>6.2.2.1.1.01.03.01 - REMUNERAÇÃO DE SERVIÇOS PESSOAIS</t>
  </si>
  <si>
    <t>6.2.2.1.1.01.03.01.001 - Remuneração de Serviços Pessoais</t>
  </si>
  <si>
    <t>6.2.2.1.1.01.03.01.002 - Remuneração de Estagiários</t>
  </si>
  <si>
    <t>6.2.2.1.1.01.03.02 - DIÁRIAS</t>
  </si>
  <si>
    <t>6.2.2.1.1.01.03.02.001 - Conselheiros/Convidados</t>
  </si>
  <si>
    <t>6.2.2.1.1.01.04 - SERVIÇOS DE TERCEIROS - PESSOA JURÍDICA</t>
  </si>
  <si>
    <t>6.2.2.1.1.01.04.01 - SERVIÇOS DE CONSULTORIA</t>
  </si>
  <si>
    <t>6.2.2.1.1.01.04.01.002 - Consultoria Jurídica</t>
  </si>
  <si>
    <t>6.2.2.1.1.01.04.01.004 - Outras Consultorias</t>
  </si>
  <si>
    <t>1.01.07 - PROJETO - Capacitação e Desenvolvimento Humano</t>
  </si>
  <si>
    <t>6.2.2.1.1.01.04.02 - SERVIÇOS DE COMUNICAÇÃO E DIVULGAÇÃO</t>
  </si>
  <si>
    <t xml:space="preserve">6.2.2.1.1.01.04.02.001 - Divulgação em Jornais e Revistas </t>
  </si>
  <si>
    <t>6.2.2.1.1.01.04.04 - SERVIÇOS PRESTADOS</t>
  </si>
  <si>
    <t>6.2.2.1.1.01.04.04.002 - Serviços de Seleção, Trein. e Orient. Profissional</t>
  </si>
  <si>
    <t>1.01.10 - PROJETO Athis Sergipe</t>
  </si>
  <si>
    <t>1.01.14 - PROJETO - Athis Sergipe ( superávit)</t>
  </si>
  <si>
    <t>6.2.2.1.1.01.04.04.003 - Serviços de Intermediação de Estágios</t>
  </si>
  <si>
    <t>6.2.2.1.1.01.04.04.006 - Serviços de Apoio Administrativo e Operacional</t>
  </si>
  <si>
    <t xml:space="preserve">6.2.2.1.1.01.04.04.008 - Seguros de Bens Imóveis </t>
  </si>
  <si>
    <t xml:space="preserve">6.2.2.1.1.01.04.04.010 - Locação de Bens Imóveis </t>
  </si>
  <si>
    <t>6.2.2.1.1.01.04.04.012 - Serviços de Reparos, Adapt. e Conserv de Bens Móveis e Imóveis</t>
  </si>
  <si>
    <t>6.2.2.1.1.01.04.04.014 - Serviços de Energia Elétrica e Gás</t>
  </si>
  <si>
    <t>6.2.2.1.1.01.04.04.015 - Serviços de Água e Esgoto</t>
  </si>
  <si>
    <t>6.2.2.1.1.01.04.04.016 - Serviços de Correios e Telégrafos</t>
  </si>
  <si>
    <t>6.2.2.1.1.01.04.04.018 - Assinaturas e Periódicos</t>
  </si>
  <si>
    <t>6.2.2.1.1.01.04.04.020 - Despesas com Telecomunicações</t>
  </si>
  <si>
    <t>6.2.2.1.1.01.04.04.022 - Serviços de Transporte</t>
  </si>
  <si>
    <t>6.2.2.1.1.01.04.04.024 - Serviços de Segurança Predial e Preventiva</t>
  </si>
  <si>
    <t>6.2.2.1.1.01.04.04.027 - Despesas Miúdas de Pronto Pagamento</t>
  </si>
  <si>
    <t>6.2.2.1.1.01.04.04.028 - Outras Despesas</t>
  </si>
  <si>
    <t>1.01.02 - ATIVIDADE - Reuniões Plenárias</t>
  </si>
  <si>
    <t>1.01.04 -  ATIVIDADE - Comissões Permanentes</t>
  </si>
  <si>
    <t>1.01.05 - ATIVIDADE - Reserva de Contingência</t>
  </si>
  <si>
    <t>6.2.2.1.1.01.04.06 - PASSAGENS</t>
  </si>
  <si>
    <t>6.2.2.1.1.01.04.06.001 - Conselheiros/Convidados</t>
  </si>
  <si>
    <t>6.2.2.1.1.01.05 - ENCARGOS DIVERSOS</t>
  </si>
  <si>
    <t>6.2.2.1.1.01.05.01 - ENCARGOS DIVERSOS</t>
  </si>
  <si>
    <t>6.2.2.1.1.01.05.01.001 - Despesas Judiciais</t>
  </si>
  <si>
    <t>6.2.2.1.1.01.05.01.003 - Impostos e Taxas</t>
  </si>
  <si>
    <t>6.2.2.1.1.01.05.01.004 - Taxas Bancárias</t>
  </si>
  <si>
    <t>6.2.2.1.1.01.07 - TRANSFERÊNCIAS CORRENTES</t>
  </si>
  <si>
    <t>6.2.2.1.1.01.07.01 - FUNDO DE APOIO AO CAU-UF</t>
  </si>
  <si>
    <t>6.2.2.1.1.01.07.01.001 - Fundo Nacional de Apoio aos CAU UF</t>
  </si>
  <si>
    <t>1.02.02 - ATIVIDADE - Aporte Fundo de Apoio</t>
  </si>
  <si>
    <t>6.2.2.1.1.01.07.02 - CONVÊNIOS, CONTRATOS E PATROCÍNIO</t>
  </si>
  <si>
    <t>6.2.2.1.1.01.07.02.003 - Centro de Serviços Compartilhados - CSC</t>
  </si>
  <si>
    <t>1.02.03 - ATIVIDADE - Centro de Serviços Compartilhados - CSC - SISCAF</t>
  </si>
  <si>
    <t>1.03.03 - ATIVIDADE - Serviços Compartilhados para Fiscalização - CSC</t>
  </si>
  <si>
    <t>1.03.04 - ATIVIDADE - Serviços Compartilhados de Atendimento - CSC</t>
  </si>
  <si>
    <t>6.2.2.1.1.02 - CRÉDITO DISPONÍVEL DESPESA DE CAPITAL</t>
  </si>
  <si>
    <t>6.2.2.1.1.02.01 - INVESTIMENTOS</t>
  </si>
  <si>
    <t xml:space="preserve">6.2.2.1.1.02.01.03 - EQUIPAMENTOS E MATERIAIS PERMANENTES </t>
  </si>
  <si>
    <t xml:space="preserve">6.2.2.1.1.02.01.03.002 - Máquinas e Equipamentos </t>
  </si>
  <si>
    <t>1.02.04 - PROJETO  - bens moveis e imóveis</t>
  </si>
  <si>
    <t>6.2.2.1.1.02.02 - INVERSÕES FINANCEIRAS</t>
  </si>
  <si>
    <t xml:space="preserve">6.2.2.1.1.02.02.02 - EQUIPAMENTOS E MATERIAIS PERMANENTES </t>
  </si>
  <si>
    <t xml:space="preserve">6.2.2.1.1.02.02.02.001 - Móveis e Utensílios </t>
  </si>
  <si>
    <t>Total</t>
  </si>
  <si>
    <t>Centro de Custo</t>
  </si>
  <si>
    <t>Centro de custo por Conta</t>
  </si>
  <si>
    <t>"Concluído"</t>
  </si>
  <si>
    <t>"Parcialmente Concluído"</t>
  </si>
  <si>
    <t>"Não Realizado"</t>
  </si>
  <si>
    <t>Indicador não utilizado</t>
  </si>
  <si>
    <t>Meta não utilizada</t>
  </si>
  <si>
    <t>Não foi possível mensurar a Meta devido a problemas na plataforma</t>
  </si>
  <si>
    <t>Não foram iniciados processos em 2020</t>
  </si>
  <si>
    <t>Índice não calculado por motivo de mudanças no setor de comunicação</t>
  </si>
  <si>
    <t>Meta de difícl mensuração, pois, não foram produzidos materiais impressos, e carecemos de ferramentas para o dimensionamento do alcance das peças virtuais publicadas nas redes do CAU/SE.</t>
  </si>
  <si>
    <t>Não foi possível mensurar, pois, foi aberto um único processo em 2021 que ainda não foi finalizado, impossibilitando o cálculo do tempo médio.</t>
  </si>
  <si>
    <t xml:space="preserve">AU </t>
  </si>
  <si>
    <t>Dados Dashboard Dez 2021</t>
  </si>
  <si>
    <t xml:space="preserve">Total de municícios </t>
  </si>
  <si>
    <t>Plano diretor</t>
  </si>
  <si>
    <t>Fonte: IBGE, Pesquisa de Informações Básicas Municipais - 2018</t>
  </si>
  <si>
    <t>ok</t>
  </si>
  <si>
    <t>Nenhum?</t>
  </si>
  <si>
    <t xml:space="preserve">Pop.  </t>
  </si>
  <si>
    <r>
      <t>População estimada </t>
    </r>
    <r>
      <rPr>
        <sz val="7.5"/>
        <color rgb="FF000000"/>
        <rFont val="Open Sans"/>
        <family val="2"/>
      </rPr>
      <t>[2021] IBGE</t>
    </r>
  </si>
  <si>
    <t xml:space="preserve">RRT Social </t>
  </si>
  <si>
    <t>(Dado IGEO)</t>
  </si>
  <si>
    <t>PC</t>
  </si>
  <si>
    <t>Dados Dashboard dezembro 2021</t>
  </si>
  <si>
    <t>Ajuste na fórmula</t>
  </si>
  <si>
    <t>O setores são responsáveis por mensurar, ao longo do ano, os seus respectivos indicadores. Por ocasião do Relatório de Gestão, essas informações são recolhidas e compiladas.</t>
  </si>
  <si>
    <t>Os quantitativos foram retirados do SICCAU que apresentam valores muito distantes do dashboard. Como nesse caso é uma questão de escolha entre as plataformas, pois não se sabe qual a correta, a fonte deveria ter sido indicada previamente pra facilitar o trabalho.</t>
  </si>
  <si>
    <t>Comentários CAU/SE</t>
  </si>
  <si>
    <t>Meta apurada pelo CAU/SE = 60%</t>
  </si>
  <si>
    <t>Meta apurada pelo CAU/SE = 0,62</t>
  </si>
  <si>
    <t>Valores apurados pelas gerências dos setores. Informações constam de seus respectivos relatórios anuais.</t>
  </si>
  <si>
    <t>Denúncias só se tornam processos a partir da sua admissibilidade. Em 2021 foram protocoladas 03 denúncias, sendo 01 arquivada e outras duas ainda em tramitação sem o parecer de admissibilidade, portanto, sem processo aberto.</t>
  </si>
  <si>
    <t>&gt; Sim</t>
  </si>
  <si>
    <t>No momento o CAU/SE não tem como apurar o indicador como um todo. O valor indicado como alcançado foi somente um erro de digitação.</t>
  </si>
  <si>
    <t>Informações apuradas junto às gerências dos setores, através dos seus relatórios anuais.</t>
  </si>
  <si>
    <t xml:space="preserve">Foi realizada pesquisa junto a todos os municípios através de ofício, onde 15 destes responderam, sendo que apenas 9 possuem plano diretor. </t>
  </si>
  <si>
    <t xml:space="preserve">* Metas ajustadas conforme informações da plataforma( SICCAU, IGEO, REPOSITÓRIO) escolhida pelo CAU/BR. </t>
  </si>
  <si>
    <t>Dados e informações de responsabilidade do CAU SE</t>
  </si>
  <si>
    <t xml:space="preserve">Análise 2 do CAU BR </t>
  </si>
  <si>
    <t>R$ 31.458,40 (Auxílo Alimentação);
Justificativa Atendimento: Alguns lançamentos que estavam previstos na ação de atendimento foram executados, por equívoco, em outro centro de custo pelo financeiro, o que explica o não atendimento do limite de 10% de aplicação. Tentamos junto ao CAU/BR corrigir o lançamento, mas, nos foi informado que após o fechamento não seria mais possível.</t>
  </si>
  <si>
    <r>
      <t xml:space="preserve">O valor do "Executado 2021": retirar do SISCONT. NET, no caminho "Centro de Custos&gt; Relatórios&gt; Demonstrativo de empenhos/pagamentos"; período de  01/01/2021 até 31/12/2021; na coluna </t>
    </r>
    <r>
      <rPr>
        <b/>
        <i/>
        <u/>
        <sz val="15"/>
        <color rgb="FFFF0000"/>
        <rFont val="Calibri"/>
        <family val="2"/>
        <scheme val="minor"/>
      </rPr>
      <t xml:space="preserve">EMPENHO.
</t>
    </r>
    <r>
      <rPr>
        <sz val="15"/>
        <color theme="1"/>
        <rFont val="Calibri"/>
        <family val="2"/>
        <scheme val="minor"/>
      </rPr>
      <t>SUGESTÃO: Baixar o arquivo do Siscont.NET em EXCEL e incluir como uma nova aba nesta planila Auxiliar.</t>
    </r>
  </si>
  <si>
    <r>
      <t>Proporcionar cursos de formação para profissionais Arquitetos e Urbanistas em ATHIS, bem como, incentivar a produção de ATHIS junto às Universidades e viabilizar projetos de intervenção em Habitações de Interesse Social, conforme projeto aprovado pela Deliberaçã</t>
    </r>
    <r>
      <rPr>
        <sz val="15"/>
        <rFont val="Calibri"/>
        <family val="2"/>
        <scheme val="minor"/>
      </rPr>
      <t>o Plenária nº 09/2021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</si>
</sst>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0.0"/>
    <numFmt numFmtId="167" formatCode="0.0%"/>
    <numFmt numFmtId="168" formatCode="_-* #,##0_-;\-* #,##0_-;_-* &quot;-&quot;??_-;_-@_-"/>
    <numFmt numFmtId="169" formatCode="_(* #,##0_);_(* \(#,##0\);_(* &quot;-&quot;??_);_(@_)"/>
    <numFmt numFmtId="170" formatCode="_(* #,##0.0_);_(* \(#,##0.0\);_(* &quot;-&quot;??_);_(@_)"/>
    <numFmt numFmtId="171" formatCode="&quot;R$&quot;#,##0.00"/>
    <numFmt numFmtId="172" formatCode="_-&quot;R$&quot;\ * #,##0_-;\-&quot;R$&quot;\ * #,##0_-;_-&quot;R$&quot;\ * &quot;-&quot;??_-;_-@_-"/>
    <numFmt numFmtId="173" formatCode="#,##0.0_ ;\-#,##0.0\ "/>
    <numFmt numFmtId="174" formatCode="0.000"/>
  </numFmts>
  <fonts count="8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b/>
      <sz val="11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indexed="81"/>
      <name val="Tahoma"/>
      <family val="2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4"/>
      <color indexed="81"/>
      <name val="Tahoma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6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6871"/>
      <name val="Calibri"/>
      <family val="2"/>
      <scheme val="minor"/>
    </font>
    <font>
      <b/>
      <sz val="12"/>
      <color rgb="FF00999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indexed="57"/>
      <name val="Calibri"/>
      <family val="2"/>
      <scheme val="minor"/>
    </font>
    <font>
      <b/>
      <sz val="12"/>
      <color indexed="2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Arial"/>
      <family val="2"/>
    </font>
    <font>
      <sz val="12"/>
      <color rgb="FFFF0000"/>
      <name val="Arial"/>
      <family val="2"/>
    </font>
    <font>
      <b/>
      <strike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6"/>
      <color rgb="FF212121"/>
      <name val="OpenSansCondensedLight"/>
    </font>
    <font>
      <sz val="11"/>
      <color rgb="FF727272"/>
      <name val="OpenSansCondensedBold"/>
    </font>
    <font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indexed="8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000000"/>
      <name val="Calibri Light"/>
      <family val="2"/>
    </font>
    <font>
      <b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  <font>
      <sz val="18"/>
      <color rgb="FF434343"/>
      <name val="Tahoma"/>
      <family val="2"/>
    </font>
    <font>
      <sz val="12"/>
      <color rgb="FF434343"/>
      <name val="Tahoma"/>
      <family val="2"/>
    </font>
    <font>
      <sz val="9"/>
      <color rgb="FF000000"/>
      <name val="Times New Roman"/>
      <family val="2"/>
    </font>
    <font>
      <sz val="9"/>
      <color rgb="FF000000"/>
      <name val="Tahoma"/>
      <family val="2"/>
    </font>
    <font>
      <sz val="14"/>
      <color rgb="FF434343"/>
      <name val="Tahoma"/>
      <family val="2"/>
    </font>
    <font>
      <sz val="11"/>
      <color rgb="FF434343"/>
      <name val="Tahoma"/>
      <family val="2"/>
    </font>
    <font>
      <b/>
      <sz val="9"/>
      <color rgb="FFFFFFFF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434343"/>
      <name val="Tahoma"/>
      <family val="2"/>
    </font>
    <font>
      <b/>
      <sz val="14"/>
      <color rgb="FF000000"/>
      <name val="Calibri Light"/>
      <family val="2"/>
    </font>
    <font>
      <sz val="18"/>
      <name val="Calibri"/>
      <family val="2"/>
      <scheme val="minor"/>
    </font>
    <font>
      <b/>
      <sz val="11"/>
      <color rgb="FF000000"/>
      <name val="Segoe UI"/>
      <family val="2"/>
      <charset val="1"/>
    </font>
    <font>
      <sz val="7"/>
      <color rgb="FF000000"/>
      <name val="Tahoma"/>
      <family val="2"/>
    </font>
    <font>
      <b/>
      <sz val="13"/>
      <color rgb="FF000000"/>
      <name val="Tahoma"/>
      <family val="2"/>
    </font>
    <font>
      <sz val="12"/>
      <color rgb="FF000000"/>
      <name val="Segoe UI"/>
      <family val="2"/>
      <charset val="1"/>
    </font>
    <font>
      <sz val="11"/>
      <color indexed="81"/>
      <name val="Segoe UI"/>
      <family val="2"/>
    </font>
    <font>
      <b/>
      <sz val="11"/>
      <color indexed="81"/>
      <name val="Segoe UI"/>
      <family val="2"/>
    </font>
    <font>
      <sz val="10"/>
      <color theme="1"/>
      <name val="Calibri"/>
      <family val="2"/>
      <scheme val="minor"/>
    </font>
    <font>
      <sz val="7.5"/>
      <color rgb="FF000000"/>
      <name val="Open Sans"/>
      <family val="2"/>
    </font>
    <font>
      <b/>
      <sz val="14"/>
      <color rgb="FF000000"/>
      <name val="Open Sans"/>
      <family val="2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5"/>
      <color theme="0"/>
      <name val="Calibri"/>
      <family val="2"/>
      <scheme val="minor"/>
    </font>
    <font>
      <b/>
      <i/>
      <u/>
      <sz val="15"/>
      <color rgb="FFFF0000"/>
      <name val="Calibri"/>
      <family val="2"/>
      <scheme val="minor"/>
    </font>
    <font>
      <sz val="15"/>
      <name val="Calibri"/>
      <family val="2"/>
      <scheme val="minor"/>
    </font>
    <font>
      <sz val="15"/>
      <color theme="1" tint="0.499984740745262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rgb="FFFFFAD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4BAC3"/>
        <bgColor indexed="64"/>
      </patternFill>
    </fill>
    <fill>
      <patternFill patternType="solid">
        <fgColor rgb="FF528693"/>
        <bgColor indexed="64"/>
      </patternFill>
    </fill>
    <fill>
      <patternFill patternType="solid">
        <fgColor rgb="FF2A5664"/>
        <bgColor indexed="64"/>
      </patternFill>
    </fill>
    <fill>
      <patternFill patternType="solid">
        <fgColor rgb="FFE4F0F0"/>
        <bgColor indexed="64"/>
      </patternFill>
    </fill>
    <fill>
      <patternFill patternType="lightGray">
        <bgColor rgb="FF2A5664"/>
      </patternFill>
    </fill>
    <fill>
      <patternFill patternType="solid">
        <fgColor rgb="FF006666"/>
        <bgColor indexed="64"/>
      </patternFill>
    </fill>
    <fill>
      <patternFill patternType="darkGrid">
        <bgColor theme="0"/>
      </patternFill>
    </fill>
    <fill>
      <patternFill patternType="solid">
        <fgColor theme="9" tint="-0.249977111117893"/>
        <bgColor indexed="64"/>
      </patternFill>
    </fill>
    <fill>
      <patternFill patternType="darkTrellis"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4682B4"/>
      </patternFill>
    </fill>
    <fill>
      <patternFill patternType="solid">
        <fgColor rgb="FFFFFFFF"/>
      </patternFill>
    </fill>
    <fill>
      <patternFill patternType="solid">
        <fgColor rgb="FFE0E0E0"/>
      </patternFill>
    </fill>
    <fill>
      <patternFill patternType="solid">
        <fgColor rgb="FFEAEAE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000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/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/>
      <top/>
      <bottom/>
      <diagonal/>
    </border>
    <border>
      <left/>
      <right style="thin">
        <color rgb="FFE5E5E5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</borders>
  <cellStyleXfs count="15">
    <xf numFmtId="0" fontId="0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7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7" fillId="0" borderId="0"/>
    <xf numFmtId="0" fontId="4" fillId="0" borderId="0"/>
    <xf numFmtId="172" fontId="17" fillId="0" borderId="0" applyBorder="0" applyProtection="0"/>
    <xf numFmtId="164" fontId="4" fillId="0" borderId="0" applyFont="0" applyFill="0" applyBorder="0" applyAlignment="0" applyProtection="0"/>
  </cellStyleXfs>
  <cellXfs count="496">
    <xf numFmtId="0" fontId="0" fillId="0" borderId="0" xfId="0"/>
    <xf numFmtId="0" fontId="0" fillId="0" borderId="0" xfId="0"/>
    <xf numFmtId="0" fontId="6" fillId="0" borderId="0" xfId="0" applyFont="1"/>
    <xf numFmtId="0" fontId="24" fillId="2" borderId="0" xfId="0" applyFont="1" applyFill="1"/>
    <xf numFmtId="0" fontId="24" fillId="2" borderId="0" xfId="0" applyFont="1" applyFill="1" applyBorder="1" applyAlignment="1">
      <alignment vertical="center" wrapText="1"/>
    </xf>
    <xf numFmtId="0" fontId="24" fillId="2" borderId="0" xfId="0" applyFont="1" applyFill="1" applyBorder="1"/>
    <xf numFmtId="0" fontId="24" fillId="2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/>
    </xf>
    <xf numFmtId="165" fontId="6" fillId="2" borderId="1" xfId="2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center"/>
    </xf>
    <xf numFmtId="41" fontId="25" fillId="11" borderId="1" xfId="0" applyNumberFormat="1" applyFont="1" applyFill="1" applyBorder="1" applyAlignment="1" applyProtection="1">
      <alignment horizontal="center" vertical="center" wrapText="1"/>
    </xf>
    <xf numFmtId="166" fontId="25" fillId="11" borderId="1" xfId="0" applyNumberFormat="1" applyFont="1" applyFill="1" applyBorder="1" applyAlignment="1" applyProtection="1">
      <alignment horizontal="center" vertical="center" wrapText="1"/>
    </xf>
    <xf numFmtId="165" fontId="5" fillId="2" borderId="1" xfId="2" applyFont="1" applyFill="1" applyBorder="1" applyAlignment="1" applyProtection="1">
      <alignment vertical="center" wrapText="1"/>
      <protection locked="0"/>
    </xf>
    <xf numFmtId="165" fontId="5" fillId="3" borderId="1" xfId="2" applyNumberFormat="1" applyFont="1" applyFill="1" applyBorder="1" applyAlignment="1" applyProtection="1">
      <alignment horizontal="left" vertical="center" wrapText="1"/>
    </xf>
    <xf numFmtId="170" fontId="5" fillId="3" borderId="1" xfId="2" applyNumberFormat="1" applyFont="1" applyFill="1" applyBorder="1" applyAlignment="1" applyProtection="1">
      <alignment horizontal="left" vertical="center" wrapText="1"/>
    </xf>
    <xf numFmtId="169" fontId="0" fillId="0" borderId="0" xfId="2" applyNumberFormat="1" applyFont="1"/>
    <xf numFmtId="170" fontId="0" fillId="0" borderId="0" xfId="2" applyNumberFormat="1" applyFont="1"/>
    <xf numFmtId="165" fontId="0" fillId="0" borderId="0" xfId="2" applyFont="1" applyFill="1" applyBorder="1"/>
    <xf numFmtId="165" fontId="0" fillId="0" borderId="0" xfId="2" applyFont="1"/>
    <xf numFmtId="165" fontId="15" fillId="0" borderId="0" xfId="2" applyFont="1"/>
    <xf numFmtId="165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167" fontId="0" fillId="0" borderId="0" xfId="1" applyNumberFormat="1" applyFont="1"/>
    <xf numFmtId="43" fontId="0" fillId="0" borderId="0" xfId="0" applyNumberFormat="1"/>
    <xf numFmtId="169" fontId="0" fillId="0" borderId="0" xfId="2" applyNumberFormat="1" applyFont="1" applyAlignment="1">
      <alignment horizontal="center"/>
    </xf>
    <xf numFmtId="170" fontId="0" fillId="0" borderId="0" xfId="2" applyNumberFormat="1" applyFont="1" applyAlignment="1">
      <alignment horizontal="center"/>
    </xf>
    <xf numFmtId="165" fontId="0" fillId="4" borderId="0" xfId="2" applyFont="1" applyFill="1"/>
    <xf numFmtId="0" fontId="22" fillId="14" borderId="35" xfId="0" applyFont="1" applyFill="1" applyBorder="1" applyAlignment="1">
      <alignment horizontal="center" vertical="center"/>
    </xf>
    <xf numFmtId="0" fontId="38" fillId="2" borderId="0" xfId="0" applyFont="1" applyFill="1"/>
    <xf numFmtId="165" fontId="6" fillId="0" borderId="0" xfId="2" applyFont="1" applyAlignment="1">
      <alignment horizontal="center"/>
    </xf>
    <xf numFmtId="169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165" fontId="5" fillId="2" borderId="1" xfId="2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170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165" fontId="5" fillId="15" borderId="1" xfId="2" applyFont="1" applyFill="1" applyBorder="1" applyAlignment="1" applyProtection="1">
      <alignment horizontal="center" vertical="center"/>
      <protection locked="0"/>
    </xf>
    <xf numFmtId="165" fontId="6" fillId="2" borderId="1" xfId="2" applyFont="1" applyFill="1" applyBorder="1" applyAlignment="1" applyProtection="1">
      <alignment horizontal="center" vertical="center" wrapText="1"/>
      <protection locked="0"/>
    </xf>
    <xf numFmtId="0" fontId="23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5" fillId="3" borderId="1" xfId="2" applyFont="1" applyFill="1" applyBorder="1" applyAlignment="1" applyProtection="1">
      <alignment horizontal="center" vertical="center" wrapText="1"/>
      <protection locked="0"/>
    </xf>
    <xf numFmtId="165" fontId="6" fillId="3" borderId="1" xfId="2" applyFont="1" applyFill="1" applyBorder="1" applyAlignment="1" applyProtection="1">
      <alignment horizontal="center" vertical="center" wrapText="1"/>
      <protection locked="0"/>
    </xf>
    <xf numFmtId="165" fontId="5" fillId="3" borderId="1" xfId="2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5" fontId="5" fillId="3" borderId="4" xfId="2" applyFont="1" applyFill="1" applyBorder="1" applyAlignment="1">
      <alignment horizontal="center" vertical="center" wrapText="1"/>
    </xf>
    <xf numFmtId="169" fontId="22" fillId="14" borderId="37" xfId="2" applyNumberFormat="1" applyFont="1" applyFill="1" applyBorder="1" applyAlignment="1">
      <alignment horizontal="center" vertical="center" wrapText="1"/>
    </xf>
    <xf numFmtId="170" fontId="22" fillId="14" borderId="35" xfId="2" applyNumberFormat="1" applyFont="1" applyFill="1" applyBorder="1" applyAlignment="1">
      <alignment horizontal="center" vertical="center" wrapText="1"/>
    </xf>
    <xf numFmtId="169" fontId="22" fillId="14" borderId="35" xfId="2" applyNumberFormat="1" applyFont="1" applyFill="1" applyBorder="1" applyAlignment="1">
      <alignment horizontal="center" vertical="center" wrapText="1"/>
    </xf>
    <xf numFmtId="169" fontId="22" fillId="14" borderId="38" xfId="2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165" fontId="22" fillId="14" borderId="39" xfId="2" applyFont="1" applyFill="1" applyBorder="1" applyAlignment="1">
      <alignment horizontal="center" vertical="center" wrapText="1"/>
    </xf>
    <xf numFmtId="49" fontId="22" fillId="14" borderId="35" xfId="2" applyNumberFormat="1" applyFont="1" applyFill="1" applyBorder="1" applyAlignment="1">
      <alignment horizontal="center" vertical="center" wrapText="1"/>
    </xf>
    <xf numFmtId="49" fontId="0" fillId="0" borderId="0" xfId="2" applyNumberFormat="1" applyFont="1" applyAlignment="1">
      <alignment horizontal="center" vertical="center" wrapText="1"/>
    </xf>
    <xf numFmtId="49" fontId="15" fillId="0" borderId="0" xfId="2" applyNumberFormat="1" applyFont="1" applyAlignment="1">
      <alignment horizontal="center" vertical="center" wrapText="1"/>
    </xf>
    <xf numFmtId="49" fontId="0" fillId="0" borderId="0" xfId="0" applyNumberFormat="1"/>
    <xf numFmtId="165" fontId="25" fillId="16" borderId="41" xfId="2" applyFont="1" applyFill="1" applyBorder="1" applyAlignment="1">
      <alignment horizontal="center" vertical="center" wrapText="1"/>
    </xf>
    <xf numFmtId="0" fontId="25" fillId="14" borderId="11" xfId="0" applyFont="1" applyFill="1" applyBorder="1" applyAlignment="1">
      <alignment horizontal="center" vertical="center" wrapText="1"/>
    </xf>
    <xf numFmtId="169" fontId="22" fillId="14" borderId="37" xfId="2" applyNumberFormat="1" applyFont="1" applyFill="1" applyBorder="1" applyAlignment="1">
      <alignment horizontal="center" vertical="center"/>
    </xf>
    <xf numFmtId="49" fontId="0" fillId="0" borderId="0" xfId="2" applyNumberFormat="1" applyFont="1" applyFill="1" applyBorder="1"/>
    <xf numFmtId="49" fontId="0" fillId="0" borderId="0" xfId="2" applyNumberFormat="1" applyFont="1"/>
    <xf numFmtId="49" fontId="15" fillId="0" borderId="0" xfId="2" applyNumberFormat="1" applyFont="1"/>
    <xf numFmtId="165" fontId="38" fillId="0" borderId="0" xfId="2" applyFont="1"/>
    <xf numFmtId="165" fontId="15" fillId="0" borderId="0" xfId="2" applyFont="1" applyFill="1" applyBorder="1"/>
    <xf numFmtId="49" fontId="22" fillId="14" borderId="40" xfId="2" applyNumberFormat="1" applyFont="1" applyFill="1" applyBorder="1" applyAlignment="1">
      <alignment horizontal="center" vertical="center" wrapText="1"/>
    </xf>
    <xf numFmtId="0" fontId="39" fillId="0" borderId="0" xfId="11" applyFont="1"/>
    <xf numFmtId="167" fontId="16" fillId="0" borderId="0" xfId="1" applyNumberFormat="1" applyFont="1"/>
    <xf numFmtId="0" fontId="24" fillId="0" borderId="1" xfId="11" applyFont="1" applyBorder="1" applyAlignment="1">
      <alignment vertical="center" wrapText="1" readingOrder="1"/>
    </xf>
    <xf numFmtId="0" fontId="26" fillId="0" borderId="0" xfId="11" applyFont="1" applyAlignment="1">
      <alignment horizontal="left"/>
    </xf>
    <xf numFmtId="0" fontId="26" fillId="0" borderId="0" xfId="11" applyFont="1"/>
    <xf numFmtId="166" fontId="40" fillId="0" borderId="0" xfId="11" applyNumberFormat="1" applyFont="1" applyAlignment="1">
      <alignment horizontal="center" vertical="center"/>
    </xf>
    <xf numFmtId="0" fontId="40" fillId="0" borderId="0" xfId="11" applyFont="1" applyAlignment="1">
      <alignment horizontal="center" vertical="center"/>
    </xf>
    <xf numFmtId="166" fontId="26" fillId="0" borderId="0" xfId="11" applyNumberFormat="1" applyFont="1"/>
    <xf numFmtId="41" fontId="26" fillId="0" borderId="0" xfId="11" applyNumberFormat="1" applyFont="1"/>
    <xf numFmtId="165" fontId="26" fillId="0" borderId="0" xfId="2" applyFont="1"/>
    <xf numFmtId="165" fontId="40" fillId="0" borderId="0" xfId="2" applyFont="1" applyAlignment="1">
      <alignment horizontal="center" vertical="center"/>
    </xf>
    <xf numFmtId="0" fontId="25" fillId="11" borderId="48" xfId="11" applyFont="1" applyFill="1" applyBorder="1" applyAlignment="1">
      <alignment horizontal="center" vertical="center" wrapText="1"/>
    </xf>
    <xf numFmtId="165" fontId="25" fillId="11" borderId="48" xfId="2" applyFont="1" applyFill="1" applyBorder="1" applyAlignment="1">
      <alignment horizontal="center" vertical="center" wrapText="1"/>
    </xf>
    <xf numFmtId="165" fontId="25" fillId="11" borderId="1" xfId="2" applyFont="1" applyFill="1" applyBorder="1" applyAlignment="1">
      <alignment horizontal="center"/>
    </xf>
    <xf numFmtId="41" fontId="25" fillId="11" borderId="1" xfId="11" applyNumberFormat="1" applyFont="1" applyFill="1" applyBorder="1" applyAlignment="1">
      <alignment horizontal="center"/>
    </xf>
    <xf numFmtId="165" fontId="24" fillId="0" borderId="0" xfId="2" applyFont="1"/>
    <xf numFmtId="0" fontId="6" fillId="0" borderId="0" xfId="11" applyFont="1" applyAlignment="1">
      <alignment horizontal="left" vertical="center"/>
    </xf>
    <xf numFmtId="0" fontId="27" fillId="11" borderId="0" xfId="11" applyFont="1" applyFill="1" applyAlignment="1">
      <alignment horizontal="center" vertical="center"/>
    </xf>
    <xf numFmtId="165" fontId="6" fillId="17" borderId="1" xfId="2" applyFont="1" applyFill="1" applyBorder="1" applyAlignment="1" applyProtection="1">
      <alignment horizontal="center" vertical="center" wrapText="1"/>
      <protection locked="0"/>
    </xf>
    <xf numFmtId="0" fontId="41" fillId="3" borderId="1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23" fillId="18" borderId="1" xfId="0" applyFont="1" applyFill="1" applyBorder="1" applyAlignment="1">
      <alignment horizontal="center" vertical="center" wrapText="1"/>
    </xf>
    <xf numFmtId="165" fontId="37" fillId="2" borderId="0" xfId="2" applyFont="1" applyFill="1" applyAlignment="1">
      <alignment vertical="center" wrapText="1"/>
    </xf>
    <xf numFmtId="0" fontId="16" fillId="0" borderId="0" xfId="0" applyFont="1" applyProtection="1">
      <protection locked="0"/>
    </xf>
    <xf numFmtId="0" fontId="16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25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wrapText="1"/>
      <protection locked="0"/>
    </xf>
    <xf numFmtId="0" fontId="25" fillId="11" borderId="15" xfId="0" applyFont="1" applyFill="1" applyBorder="1" applyAlignment="1" applyProtection="1">
      <alignment horizontal="left" vertical="center" wrapText="1"/>
      <protection locked="0"/>
    </xf>
    <xf numFmtId="0" fontId="25" fillId="11" borderId="18" xfId="0" applyFont="1" applyFill="1" applyBorder="1" applyAlignment="1" applyProtection="1">
      <alignment horizontal="center" vertical="center" wrapText="1"/>
      <protection locked="0"/>
    </xf>
    <xf numFmtId="0" fontId="24" fillId="0" borderId="28" xfId="0" applyFont="1" applyBorder="1" applyAlignment="1" applyProtection="1">
      <alignment horizontal="center" wrapText="1"/>
      <protection locked="0"/>
    </xf>
    <xf numFmtId="0" fontId="24" fillId="0" borderId="28" xfId="0" applyFont="1" applyBorder="1" applyAlignment="1" applyProtection="1">
      <alignment horizontal="center" vertical="top" wrapText="1"/>
      <protection locked="0"/>
    </xf>
    <xf numFmtId="0" fontId="25" fillId="2" borderId="5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25" fillId="11" borderId="1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 applyProtection="1">
      <alignment horizontal="center" wrapText="1"/>
      <protection locked="0"/>
    </xf>
    <xf numFmtId="0" fontId="24" fillId="0" borderId="1" xfId="0" applyFont="1" applyBorder="1" applyAlignment="1" applyProtection="1">
      <alignment horizontal="center" vertical="top" wrapText="1"/>
      <protection locked="0"/>
    </xf>
    <xf numFmtId="0" fontId="24" fillId="2" borderId="1" xfId="0" applyFont="1" applyFill="1" applyBorder="1" applyAlignment="1" applyProtection="1">
      <alignment horizontal="center" wrapText="1"/>
      <protection locked="0"/>
    </xf>
    <xf numFmtId="0" fontId="24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24" fillId="2" borderId="1" xfId="0" applyFont="1" applyFill="1" applyBorder="1" applyAlignment="1" applyProtection="1">
      <alignment horizontal="left" vertical="center" wrapText="1"/>
      <protection locked="0"/>
    </xf>
    <xf numFmtId="0" fontId="24" fillId="6" borderId="1" xfId="3" applyFont="1" applyFill="1" applyBorder="1" applyAlignment="1" applyProtection="1">
      <alignment horizontal="center" wrapText="1"/>
      <protection locked="0"/>
    </xf>
    <xf numFmtId="0" fontId="24" fillId="6" borderId="1" xfId="3" applyFont="1" applyFill="1" applyBorder="1" applyAlignment="1" applyProtection="1">
      <alignment horizontal="center" vertical="top" wrapText="1"/>
      <protection locked="0"/>
    </xf>
    <xf numFmtId="0" fontId="24" fillId="2" borderId="1" xfId="3" applyFont="1" applyFill="1" applyBorder="1" applyAlignment="1" applyProtection="1">
      <alignment horizontal="center" wrapText="1"/>
      <protection locked="0"/>
    </xf>
    <xf numFmtId="0" fontId="24" fillId="2" borderId="1" xfId="3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2" borderId="0" xfId="0" applyFont="1" applyFill="1" applyProtection="1"/>
    <xf numFmtId="0" fontId="23" fillId="2" borderId="0" xfId="0" applyFont="1" applyFill="1" applyBorder="1" applyAlignment="1" applyProtection="1">
      <alignment horizontal="center" vertical="center" wrapText="1"/>
    </xf>
    <xf numFmtId="1" fontId="24" fillId="2" borderId="0" xfId="1" applyNumberFormat="1" applyFont="1" applyFill="1" applyBorder="1" applyAlignment="1" applyProtection="1">
      <alignment horizontal="center" vertical="center"/>
    </xf>
    <xf numFmtId="1" fontId="24" fillId="2" borderId="0" xfId="1" applyNumberFormat="1" applyFont="1" applyFill="1" applyBorder="1" applyAlignment="1" applyProtection="1">
      <alignment horizontal="center" vertical="center" wrapText="1"/>
    </xf>
    <xf numFmtId="1" fontId="24" fillId="2" borderId="0" xfId="2" applyNumberFormat="1" applyFont="1" applyFill="1" applyBorder="1" applyAlignment="1" applyProtection="1">
      <alignment horizontal="center" vertical="center" wrapText="1"/>
    </xf>
    <xf numFmtId="3" fontId="24" fillId="2" borderId="0" xfId="2" applyNumberFormat="1" applyFont="1" applyFill="1" applyBorder="1" applyAlignment="1" applyProtection="1">
      <alignment horizontal="center" vertical="center" wrapText="1"/>
    </xf>
    <xf numFmtId="169" fontId="0" fillId="0" borderId="0" xfId="2" applyNumberFormat="1" applyFont="1" applyFill="1" applyBorder="1"/>
    <xf numFmtId="0" fontId="6" fillId="2" borderId="0" xfId="0" applyFont="1" applyFill="1" applyAlignment="1" applyProtection="1">
      <alignment horizontal="center"/>
      <protection locked="0"/>
    </xf>
    <xf numFmtId="165" fontId="6" fillId="3" borderId="1" xfId="2" applyFont="1" applyFill="1" applyBorder="1" applyAlignment="1" applyProtection="1">
      <alignment vertical="center" wrapText="1"/>
    </xf>
    <xf numFmtId="165" fontId="5" fillId="3" borderId="1" xfId="2" applyFont="1" applyFill="1" applyBorder="1" applyAlignment="1" applyProtection="1">
      <alignment vertical="center" wrapText="1"/>
    </xf>
    <xf numFmtId="170" fontId="5" fillId="3" borderId="1" xfId="2" applyNumberFormat="1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165" fontId="23" fillId="2" borderId="0" xfId="2" applyNumberFormat="1" applyFont="1" applyFill="1" applyBorder="1" applyAlignment="1" applyProtection="1">
      <alignment horizontal="left" vertical="center" wrapText="1"/>
    </xf>
    <xf numFmtId="0" fontId="7" fillId="2" borderId="0" xfId="0" applyFont="1" applyFill="1" applyProtection="1">
      <protection locked="0"/>
    </xf>
    <xf numFmtId="41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1" xfId="2" applyNumberFormat="1" applyFont="1" applyFill="1" applyBorder="1" applyAlignment="1" applyProtection="1">
      <alignment horizontal="right" vertical="center" wrapText="1"/>
      <protection locked="0"/>
    </xf>
    <xf numFmtId="165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168" fontId="5" fillId="2" borderId="0" xfId="2" applyNumberFormat="1" applyFont="1" applyFill="1" applyBorder="1" applyAlignment="1" applyProtection="1">
      <alignment vertical="center" wrapText="1"/>
      <protection locked="0"/>
    </xf>
    <xf numFmtId="165" fontId="5" fillId="2" borderId="0" xfId="2" applyFont="1" applyFill="1" applyBorder="1" applyAlignment="1" applyProtection="1">
      <alignment horizontal="left" vertical="center" wrapText="1"/>
      <protection locked="0"/>
    </xf>
    <xf numFmtId="41" fontId="5" fillId="2" borderId="0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vertical="center" wrapText="1" readingOrder="1"/>
      <protection locked="0"/>
    </xf>
    <xf numFmtId="0" fontId="5" fillId="2" borderId="0" xfId="0" applyFont="1" applyFill="1" applyBorder="1" applyAlignment="1" applyProtection="1">
      <alignment horizontal="center" vertical="center" textRotation="90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168" fontId="5" fillId="2" borderId="0" xfId="2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 readingOrder="1"/>
      <protection locked="0"/>
    </xf>
    <xf numFmtId="0" fontId="7" fillId="2" borderId="0" xfId="0" applyFont="1" applyFill="1" applyBorder="1" applyProtection="1">
      <protection locked="0"/>
    </xf>
    <xf numFmtId="0" fontId="6" fillId="2" borderId="0" xfId="0" applyFont="1" applyFill="1" applyAlignment="1" applyProtection="1">
      <protection locked="0"/>
    </xf>
    <xf numFmtId="41" fontId="5" fillId="2" borderId="0" xfId="0" applyNumberFormat="1" applyFont="1" applyFill="1" applyBorder="1" applyAlignment="1" applyProtection="1">
      <alignment horizontal="center" vertical="center" wrapText="1"/>
    </xf>
    <xf numFmtId="165" fontId="25" fillId="11" borderId="1" xfId="2" applyNumberFormat="1" applyFont="1" applyFill="1" applyBorder="1" applyAlignment="1" applyProtection="1">
      <alignment horizontal="left" vertical="center" wrapText="1"/>
    </xf>
    <xf numFmtId="170" fontId="25" fillId="11" borderId="1" xfId="2" applyNumberFormat="1" applyFont="1" applyFill="1" applyBorder="1" applyAlignment="1" applyProtection="1">
      <alignment horizontal="left" vertical="center" wrapText="1"/>
    </xf>
    <xf numFmtId="41" fontId="5" fillId="2" borderId="1" xfId="0" applyNumberFormat="1" applyFont="1" applyFill="1" applyBorder="1" applyAlignment="1" applyProtection="1">
      <alignment horizontal="center" vertical="center" wrapText="1"/>
    </xf>
    <xf numFmtId="41" fontId="5" fillId="12" borderId="1" xfId="0" applyNumberFormat="1" applyFont="1" applyFill="1" applyBorder="1" applyAlignment="1" applyProtection="1">
      <alignment horizontal="center" vertical="center" wrapText="1"/>
    </xf>
    <xf numFmtId="170" fontId="5" fillId="3" borderId="1" xfId="2" applyNumberFormat="1" applyFont="1" applyFill="1" applyBorder="1" applyAlignment="1" applyProtection="1">
      <alignment horizontal="right" vertical="center" wrapText="1"/>
    </xf>
    <xf numFmtId="167" fontId="5" fillId="3" borderId="1" xfId="2" applyNumberFormat="1" applyFont="1" applyFill="1" applyBorder="1" applyAlignment="1" applyProtection="1">
      <alignment horizontal="right" vertical="center" wrapText="1"/>
    </xf>
    <xf numFmtId="165" fontId="23" fillId="2" borderId="0" xfId="2" applyNumberFormat="1" applyFont="1" applyFill="1" applyBorder="1" applyAlignment="1" applyProtection="1">
      <alignment horizontal="right" vertical="center" wrapText="1"/>
    </xf>
    <xf numFmtId="165" fontId="23" fillId="2" borderId="0" xfId="0" applyNumberFormat="1" applyFont="1" applyFill="1" applyBorder="1" applyAlignment="1" applyProtection="1">
      <alignment horizontal="right" vertical="center" wrapText="1"/>
    </xf>
    <xf numFmtId="165" fontId="5" fillId="3" borderId="1" xfId="2" applyNumberFormat="1" applyFont="1" applyFill="1" applyBorder="1" applyAlignment="1" applyProtection="1">
      <alignment horizontal="right" vertical="center" wrapText="1"/>
    </xf>
    <xf numFmtId="165" fontId="5" fillId="3" borderId="1" xfId="0" applyNumberFormat="1" applyFont="1" applyFill="1" applyBorder="1" applyAlignment="1" applyProtection="1">
      <alignment horizontal="right" vertical="center" wrapText="1"/>
    </xf>
    <xf numFmtId="167" fontId="5" fillId="3" borderId="1" xfId="1" applyNumberFormat="1" applyFont="1" applyFill="1" applyBorder="1" applyAlignment="1" applyProtection="1">
      <alignment horizontal="right" vertical="center" wrapText="1"/>
    </xf>
    <xf numFmtId="41" fontId="23" fillId="13" borderId="1" xfId="0" applyNumberFormat="1" applyFont="1" applyFill="1" applyBorder="1" applyAlignment="1" applyProtection="1">
      <alignment vertical="center" wrapText="1"/>
    </xf>
    <xf numFmtId="166" fontId="23" fillId="13" borderId="1" xfId="0" applyNumberFormat="1" applyFont="1" applyFill="1" applyBorder="1" applyAlignment="1" applyProtection="1">
      <alignment vertical="center" wrapText="1"/>
    </xf>
    <xf numFmtId="0" fontId="24" fillId="0" borderId="0" xfId="0" applyFont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25" fillId="11" borderId="18" xfId="0" applyFont="1" applyFill="1" applyBorder="1" applyAlignment="1" applyProtection="1">
      <alignment horizontal="center" vertical="center" wrapText="1"/>
      <protection locked="0"/>
    </xf>
    <xf numFmtId="41" fontId="25" fillId="11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45" fillId="0" borderId="0" xfId="0" applyFont="1"/>
    <xf numFmtId="0" fontId="46" fillId="0" borderId="0" xfId="0" applyFont="1" applyAlignment="1">
      <alignment horizontal="left" vertical="center" wrapText="1"/>
    </xf>
    <xf numFmtId="0" fontId="25" fillId="19" borderId="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47" fillId="11" borderId="51" xfId="0" applyFont="1" applyFill="1" applyBorder="1" applyProtection="1">
      <protection locked="0"/>
    </xf>
    <xf numFmtId="0" fontId="47" fillId="11" borderId="52" xfId="0" applyFont="1" applyFill="1" applyBorder="1" applyProtection="1">
      <protection locked="0"/>
    </xf>
    <xf numFmtId="0" fontId="47" fillId="11" borderId="53" xfId="0" applyFont="1" applyFill="1" applyBorder="1" applyProtection="1">
      <protection locked="0"/>
    </xf>
    <xf numFmtId="0" fontId="47" fillId="11" borderId="54" xfId="0" applyFont="1" applyFill="1" applyBorder="1" applyProtection="1">
      <protection locked="0"/>
    </xf>
    <xf numFmtId="0" fontId="6" fillId="21" borderId="0" xfId="11" applyFont="1" applyFill="1" applyAlignment="1">
      <alignment horizontal="left" vertical="center"/>
    </xf>
    <xf numFmtId="41" fontId="5" fillId="22" borderId="1" xfId="11" applyNumberFormat="1" applyFont="1" applyFill="1" applyBorder="1" applyAlignment="1">
      <alignment horizontal="center" vertical="center" wrapText="1"/>
    </xf>
    <xf numFmtId="165" fontId="5" fillId="22" borderId="1" xfId="2" applyFont="1" applyFill="1" applyBorder="1" applyAlignment="1">
      <alignment horizontal="center" vertical="center" wrapText="1"/>
    </xf>
    <xf numFmtId="173" fontId="5" fillId="22" borderId="1" xfId="13" applyNumberFormat="1" applyFont="1" applyFill="1" applyBorder="1" applyAlignment="1">
      <alignment horizontal="right" vertical="center" wrapText="1"/>
    </xf>
    <xf numFmtId="0" fontId="25" fillId="11" borderId="11" xfId="0" applyFont="1" applyFill="1" applyBorder="1" applyAlignment="1" applyProtection="1">
      <alignment horizontal="center" vertical="center" wrapText="1"/>
    </xf>
    <xf numFmtId="165" fontId="25" fillId="11" borderId="1" xfId="2" applyNumberFormat="1" applyFont="1" applyFill="1" applyBorder="1" applyAlignment="1" applyProtection="1">
      <alignment horizontal="center" vertical="center" wrapText="1"/>
    </xf>
    <xf numFmtId="165" fontId="5" fillId="2" borderId="1" xfId="0" applyNumberFormat="1" applyFont="1" applyFill="1" applyBorder="1" applyAlignment="1" applyProtection="1">
      <alignment horizontal="right" vertical="center" wrapText="1"/>
    </xf>
    <xf numFmtId="0" fontId="25" fillId="11" borderId="16" xfId="0" applyFont="1" applyFill="1" applyBorder="1" applyProtection="1"/>
    <xf numFmtId="0" fontId="25" fillId="11" borderId="50" xfId="0" applyFont="1" applyFill="1" applyBorder="1" applyProtection="1"/>
    <xf numFmtId="41" fontId="25" fillId="11" borderId="11" xfId="0" applyNumberFormat="1" applyFont="1" applyFill="1" applyBorder="1" applyAlignment="1" applyProtection="1">
      <alignment horizontal="center" vertical="center" wrapText="1"/>
    </xf>
    <xf numFmtId="165" fontId="5" fillId="2" borderId="1" xfId="2" applyNumberFormat="1" applyFont="1" applyFill="1" applyBorder="1" applyAlignment="1" applyProtection="1">
      <alignment horizontal="left" vertical="center" wrapText="1"/>
    </xf>
    <xf numFmtId="0" fontId="63" fillId="23" borderId="0" xfId="0" applyFont="1" applyFill="1" applyAlignment="1">
      <alignment horizontal="right" vertical="center" wrapText="1" shrinkToFit="1" readingOrder="1"/>
    </xf>
    <xf numFmtId="0" fontId="64" fillId="26" borderId="0" xfId="0" applyFont="1" applyFill="1" applyAlignment="1">
      <alignment horizontal="right" vertical="center" wrapText="1" shrinkToFit="1" readingOrder="1"/>
    </xf>
    <xf numFmtId="4" fontId="64" fillId="26" borderId="0" xfId="0" applyNumberFormat="1" applyFont="1" applyFill="1" applyAlignment="1">
      <alignment horizontal="right" vertical="center" wrapText="1" shrinkToFit="1" readingOrder="1"/>
    </xf>
    <xf numFmtId="0" fontId="64" fillId="0" borderId="0" xfId="0" applyFont="1" applyAlignment="1">
      <alignment horizontal="right" vertical="center" wrapText="1" shrinkToFit="1" readingOrder="1"/>
    </xf>
    <xf numFmtId="4" fontId="64" fillId="0" borderId="0" xfId="0" applyNumberFormat="1" applyFont="1" applyAlignment="1">
      <alignment horizontal="right" vertical="center" wrapText="1" shrinkToFit="1" readingOrder="1"/>
    </xf>
    <xf numFmtId="0" fontId="65" fillId="0" borderId="0" xfId="0" applyFont="1" applyAlignment="1">
      <alignment horizontal="right" vertical="center" wrapText="1" shrinkToFit="1" readingOrder="1"/>
    </xf>
    <xf numFmtId="4" fontId="65" fillId="0" borderId="0" xfId="0" applyNumberFormat="1" applyFont="1" applyAlignment="1">
      <alignment horizontal="right" vertical="center" wrapText="1" shrinkToFit="1" readingOrder="1"/>
    </xf>
    <xf numFmtId="0" fontId="65" fillId="26" borderId="0" xfId="0" applyFont="1" applyFill="1" applyAlignment="1">
      <alignment horizontal="right" vertical="center" wrapText="1" shrinkToFit="1" readingOrder="1"/>
    </xf>
    <xf numFmtId="4" fontId="65" fillId="26" borderId="0" xfId="0" applyNumberFormat="1" applyFont="1" applyFill="1" applyAlignment="1">
      <alignment horizontal="right" vertical="center" wrapText="1" shrinkToFit="1" readingOrder="1"/>
    </xf>
    <xf numFmtId="4" fontId="0" fillId="0" borderId="0" xfId="0" applyNumberFormat="1"/>
    <xf numFmtId="0" fontId="63" fillId="23" borderId="61" xfId="0" applyFont="1" applyFill="1" applyBorder="1" applyAlignment="1">
      <alignment horizontal="left" vertical="center" wrapText="1" shrinkToFit="1" readingOrder="1"/>
    </xf>
    <xf numFmtId="0" fontId="63" fillId="23" borderId="62" xfId="0" applyFont="1" applyFill="1" applyBorder="1" applyAlignment="1">
      <alignment horizontal="right" vertical="center" wrapText="1" shrinkToFit="1" readingOrder="1"/>
    </xf>
    <xf numFmtId="0" fontId="63" fillId="23" borderId="62" xfId="0" applyFont="1" applyFill="1" applyBorder="1" applyAlignment="1">
      <alignment horizontal="center" vertical="center" wrapText="1" shrinkToFit="1" readingOrder="1"/>
    </xf>
    <xf numFmtId="0" fontId="63" fillId="23" borderId="0" xfId="0" applyFont="1" applyFill="1" applyAlignment="1">
      <alignment horizontal="left" vertical="top" wrapText="1" shrinkToFit="1" readingOrder="1"/>
    </xf>
    <xf numFmtId="0" fontId="63" fillId="23" borderId="0" xfId="0" applyFont="1" applyFill="1" applyAlignment="1">
      <alignment horizontal="center" vertical="center" wrapText="1" shrinkToFit="1" readingOrder="1"/>
    </xf>
    <xf numFmtId="0" fontId="70" fillId="26" borderId="0" xfId="0" applyFont="1" applyFill="1" applyAlignment="1">
      <alignment horizontal="left" vertical="top" wrapText="1" shrinkToFit="1" readingOrder="1"/>
    </xf>
    <xf numFmtId="4" fontId="70" fillId="26" borderId="0" xfId="0" applyNumberFormat="1" applyFont="1" applyFill="1" applyAlignment="1">
      <alignment horizontal="right" vertical="center" wrapText="1" shrinkToFit="1" readingOrder="1"/>
    </xf>
    <xf numFmtId="0" fontId="70" fillId="0" borderId="0" xfId="0" applyFont="1" applyAlignment="1">
      <alignment horizontal="left" vertical="top" wrapText="1" shrinkToFit="1" readingOrder="1"/>
    </xf>
    <xf numFmtId="4" fontId="70" fillId="0" borderId="0" xfId="0" applyNumberFormat="1" applyFont="1" applyAlignment="1">
      <alignment horizontal="right" vertical="center" wrapText="1" shrinkToFit="1" readingOrder="1"/>
    </xf>
    <xf numFmtId="3" fontId="24" fillId="2" borderId="1" xfId="0" applyNumberFormat="1" applyFont="1" applyFill="1" applyBorder="1" applyAlignment="1" applyProtection="1">
      <alignment horizontal="center" vertical="center" wrapText="1"/>
      <protection locked="0"/>
    </xf>
    <xf numFmtId="41" fontId="2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9" fontId="0" fillId="0" borderId="0" xfId="1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6" fillId="28" borderId="0" xfId="0" applyFont="1" applyFill="1" applyProtection="1">
      <protection locked="0"/>
    </xf>
    <xf numFmtId="165" fontId="16" fillId="0" borderId="0" xfId="2" applyFont="1" applyProtection="1">
      <protection locked="0"/>
    </xf>
    <xf numFmtId="4" fontId="64" fillId="29" borderId="0" xfId="0" applyNumberFormat="1" applyFont="1" applyFill="1" applyAlignment="1">
      <alignment horizontal="right" vertical="center" wrapText="1" shrinkToFit="1" readingOrder="1"/>
    </xf>
    <xf numFmtId="4" fontId="65" fillId="29" borderId="0" xfId="0" applyNumberFormat="1" applyFont="1" applyFill="1" applyAlignment="1">
      <alignment horizontal="right" vertical="center" wrapText="1" shrinkToFit="1" readingOrder="1"/>
    </xf>
    <xf numFmtId="0" fontId="63" fillId="29" borderId="0" xfId="0" applyFont="1" applyFill="1" applyAlignment="1">
      <alignment horizontal="right" vertical="center" wrapText="1" shrinkToFit="1" readingOrder="1"/>
    </xf>
    <xf numFmtId="0" fontId="16" fillId="2" borderId="19" xfId="0" applyFont="1" applyFill="1" applyBorder="1" applyProtection="1">
      <protection locked="0"/>
    </xf>
    <xf numFmtId="0" fontId="16" fillId="0" borderId="19" xfId="0" applyFont="1" applyBorder="1" applyAlignment="1" applyProtection="1">
      <alignment vertical="center" wrapText="1"/>
      <protection locked="0"/>
    </xf>
    <xf numFmtId="0" fontId="16" fillId="0" borderId="19" xfId="0" applyFont="1" applyBorder="1" applyProtection="1">
      <protection locked="0"/>
    </xf>
    <xf numFmtId="0" fontId="16" fillId="30" borderId="0" xfId="0" applyFont="1" applyFill="1" applyProtection="1">
      <protection locked="0"/>
    </xf>
    <xf numFmtId="0" fontId="16" fillId="0" borderId="17" xfId="0" applyFont="1" applyBorder="1" applyAlignment="1" applyProtection="1">
      <alignment vertical="top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16" fillId="0" borderId="17" xfId="0" applyFont="1" applyBorder="1" applyProtection="1">
      <protection locked="0"/>
    </xf>
    <xf numFmtId="165" fontId="6" fillId="31" borderId="1" xfId="2" applyFont="1" applyFill="1" applyBorder="1" applyAlignment="1" applyProtection="1">
      <alignment vertical="center" wrapText="1"/>
      <protection locked="0"/>
    </xf>
    <xf numFmtId="165" fontId="5" fillId="31" borderId="1" xfId="2" applyFont="1" applyFill="1" applyBorder="1" applyAlignment="1" applyProtection="1">
      <alignment vertical="center" wrapText="1"/>
    </xf>
    <xf numFmtId="167" fontId="5" fillId="5" borderId="1" xfId="2" applyNumberFormat="1" applyFont="1" applyFill="1" applyBorder="1" applyAlignment="1" applyProtection="1">
      <alignment horizontal="right" vertical="center" wrapText="1"/>
    </xf>
    <xf numFmtId="165" fontId="5" fillId="5" borderId="1" xfId="2" applyFont="1" applyFill="1" applyBorder="1" applyAlignment="1">
      <alignment horizontal="center" vertical="center" wrapText="1"/>
    </xf>
    <xf numFmtId="0" fontId="79" fillId="0" borderId="0" xfId="0" applyFont="1" applyAlignment="1" applyProtection="1">
      <alignment vertical="center" wrapText="1"/>
      <protection locked="0"/>
    </xf>
    <xf numFmtId="0" fontId="80" fillId="2" borderId="0" xfId="0" applyFont="1" applyFill="1" applyBorder="1" applyAlignment="1" applyProtection="1">
      <alignment horizontal="left" wrapText="1"/>
      <protection locked="0"/>
    </xf>
    <xf numFmtId="0" fontId="79" fillId="2" borderId="0" xfId="0" applyFont="1" applyFill="1" applyAlignment="1" applyProtection="1">
      <alignment wrapText="1"/>
      <protection locked="0"/>
    </xf>
    <xf numFmtId="0" fontId="78" fillId="11" borderId="4" xfId="0" applyFont="1" applyFill="1" applyBorder="1" applyAlignment="1" applyProtection="1">
      <alignment horizontal="center" vertical="center" wrapText="1"/>
    </xf>
    <xf numFmtId="0" fontId="81" fillId="11" borderId="58" xfId="0" applyFont="1" applyFill="1" applyBorder="1" applyProtection="1"/>
    <xf numFmtId="0" fontId="81" fillId="11" borderId="22" xfId="0" applyFont="1" applyFill="1" applyBorder="1" applyProtection="1">
      <protection locked="0"/>
    </xf>
    <xf numFmtId="0" fontId="81" fillId="11" borderId="23" xfId="0" applyFont="1" applyFill="1" applyBorder="1" applyProtection="1">
      <protection locked="0"/>
    </xf>
    <xf numFmtId="0" fontId="78" fillId="11" borderId="1" xfId="0" applyFont="1" applyFill="1" applyBorder="1" applyAlignment="1" applyProtection="1">
      <alignment horizontal="center" vertical="center" wrapText="1"/>
    </xf>
    <xf numFmtId="0" fontId="79" fillId="2" borderId="10" xfId="0" applyFont="1" applyFill="1" applyBorder="1" applyAlignment="1" applyProtection="1">
      <alignment horizontal="left" vertical="center" wrapText="1"/>
      <protection locked="0"/>
    </xf>
    <xf numFmtId="0" fontId="79" fillId="2" borderId="1" xfId="0" applyFont="1" applyFill="1" applyBorder="1" applyAlignment="1" applyProtection="1">
      <alignment horizontal="center" vertical="center" wrapText="1"/>
      <protection locked="0"/>
    </xf>
    <xf numFmtId="0" fontId="79" fillId="2" borderId="1" xfId="0" applyFont="1" applyFill="1" applyBorder="1" applyAlignment="1" applyProtection="1">
      <alignment vertical="center" wrapText="1"/>
      <protection locked="0"/>
    </xf>
    <xf numFmtId="165" fontId="79" fillId="2" borderId="1" xfId="2" applyNumberFormat="1" applyFont="1" applyFill="1" applyBorder="1" applyAlignment="1" applyProtection="1">
      <alignment vertical="center" wrapText="1"/>
      <protection locked="0"/>
    </xf>
    <xf numFmtId="170" fontId="79" fillId="3" borderId="1" xfId="2" applyNumberFormat="1" applyFont="1" applyFill="1" applyBorder="1" applyAlignment="1" applyProtection="1">
      <alignment vertical="center" wrapText="1"/>
    </xf>
    <xf numFmtId="0" fontId="79" fillId="21" borderId="1" xfId="0" applyFont="1" applyFill="1" applyBorder="1" applyAlignment="1" applyProtection="1">
      <alignment vertical="center" wrapText="1"/>
      <protection locked="0"/>
    </xf>
    <xf numFmtId="0" fontId="79" fillId="0" borderId="1" xfId="0" applyFont="1" applyFill="1" applyBorder="1" applyAlignment="1" applyProtection="1">
      <alignment vertical="center" wrapText="1"/>
      <protection locked="0"/>
    </xf>
    <xf numFmtId="0" fontId="81" fillId="4" borderId="0" xfId="0" applyFont="1" applyFill="1" applyBorder="1" applyProtection="1"/>
    <xf numFmtId="0" fontId="81" fillId="4" borderId="0" xfId="0" applyFont="1" applyFill="1" applyBorder="1" applyProtection="1">
      <protection locked="0"/>
    </xf>
    <xf numFmtId="0" fontId="79" fillId="4" borderId="0" xfId="0" applyFont="1" applyFill="1" applyAlignment="1" applyProtection="1">
      <alignment vertical="center" wrapText="1"/>
      <protection locked="0"/>
    </xf>
    <xf numFmtId="0" fontId="79" fillId="0" borderId="0" xfId="0" applyFont="1" applyBorder="1" applyAlignment="1" applyProtection="1">
      <alignment vertical="center" wrapText="1"/>
      <protection locked="0"/>
    </xf>
    <xf numFmtId="0" fontId="79" fillId="0" borderId="1" xfId="0" applyFont="1" applyBorder="1" applyAlignment="1" applyProtection="1">
      <alignment vertical="center" wrapText="1"/>
      <protection locked="0"/>
    </xf>
    <xf numFmtId="165" fontId="78" fillId="11" borderId="9" xfId="2" applyNumberFormat="1" applyFont="1" applyFill="1" applyBorder="1" applyAlignment="1" applyProtection="1">
      <alignment vertical="center" wrapText="1"/>
    </xf>
    <xf numFmtId="170" fontId="78" fillId="11" borderId="9" xfId="2" applyNumberFormat="1" applyFont="1" applyFill="1" applyBorder="1" applyAlignment="1" applyProtection="1">
      <alignment vertical="center" wrapText="1"/>
    </xf>
    <xf numFmtId="0" fontId="85" fillId="0" borderId="19" xfId="0" applyFont="1" applyFill="1" applyBorder="1" applyAlignment="1" applyProtection="1">
      <alignment horizontal="center" vertical="center" wrapText="1"/>
    </xf>
    <xf numFmtId="0" fontId="79" fillId="0" borderId="0" xfId="0" applyFont="1" applyAlignment="1" applyProtection="1">
      <alignment wrapText="1"/>
      <protection locked="0"/>
    </xf>
    <xf numFmtId="0" fontId="79" fillId="34" borderId="10" xfId="0" applyFont="1" applyFill="1" applyBorder="1" applyAlignment="1" applyProtection="1">
      <alignment horizontal="left" vertical="center" wrapText="1"/>
      <protection locked="0"/>
    </xf>
    <xf numFmtId="0" fontId="79" fillId="34" borderId="1" xfId="0" applyFont="1" applyFill="1" applyBorder="1" applyAlignment="1" applyProtection="1">
      <alignment horizontal="center" vertical="center" wrapText="1"/>
      <protection locked="0"/>
    </xf>
    <xf numFmtId="0" fontId="79" fillId="34" borderId="1" xfId="0" applyFont="1" applyFill="1" applyBorder="1" applyAlignment="1" applyProtection="1">
      <alignment vertical="center" wrapText="1"/>
      <protection locked="0"/>
    </xf>
    <xf numFmtId="165" fontId="79" fillId="34" borderId="1" xfId="2" applyNumberFormat="1" applyFont="1" applyFill="1" applyBorder="1" applyAlignment="1" applyProtection="1">
      <alignment vertical="center" wrapText="1"/>
      <protection locked="0"/>
    </xf>
    <xf numFmtId="170" fontId="79" fillId="34" borderId="1" xfId="2" applyNumberFormat="1" applyFont="1" applyFill="1" applyBorder="1" applyAlignment="1" applyProtection="1">
      <alignment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53" xfId="0" applyFont="1" applyBorder="1" applyAlignment="1">
      <alignment horizontal="left" vertical="center" wrapText="1"/>
    </xf>
    <xf numFmtId="0" fontId="42" fillId="0" borderId="54" xfId="0" applyFont="1" applyBorder="1" applyAlignment="1">
      <alignment horizontal="left" vertical="center" wrapText="1"/>
    </xf>
    <xf numFmtId="0" fontId="42" fillId="5" borderId="5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42" fillId="5" borderId="6" xfId="0" applyFont="1" applyFill="1" applyBorder="1" applyAlignment="1">
      <alignment horizontal="center" vertical="center"/>
    </xf>
    <xf numFmtId="0" fontId="42" fillId="5" borderId="7" xfId="0" applyFont="1" applyFill="1" applyBorder="1" applyAlignment="1">
      <alignment horizontal="center" vertical="center"/>
    </xf>
    <xf numFmtId="0" fontId="42" fillId="5" borderId="49" xfId="0" applyFont="1" applyFill="1" applyBorder="1" applyAlignment="1">
      <alignment horizontal="center" vertical="center"/>
    </xf>
    <xf numFmtId="0" fontId="42" fillId="5" borderId="55" xfId="0" applyFont="1" applyFill="1" applyBorder="1" applyAlignment="1">
      <alignment horizontal="center" vertical="center"/>
    </xf>
    <xf numFmtId="0" fontId="42" fillId="0" borderId="7" xfId="0" applyFont="1" applyBorder="1" applyAlignment="1">
      <alignment horizontal="left" vertical="center" wrapText="1"/>
    </xf>
    <xf numFmtId="0" fontId="42" fillId="0" borderId="49" xfId="0" applyFont="1" applyBorder="1" applyAlignment="1">
      <alignment horizontal="left" vertical="center" wrapText="1"/>
    </xf>
    <xf numFmtId="0" fontId="42" fillId="0" borderId="55" xfId="0" applyFont="1" applyBorder="1" applyAlignment="1">
      <alignment horizontal="left" vertical="center" wrapText="1"/>
    </xf>
    <xf numFmtId="0" fontId="16" fillId="2" borderId="0" xfId="0" applyFont="1" applyFill="1" applyAlignment="1" applyProtection="1">
      <alignment horizontal="left" wrapText="1"/>
      <protection locked="0"/>
    </xf>
    <xf numFmtId="0" fontId="16" fillId="0" borderId="0" xfId="0" applyFont="1" applyAlignment="1" applyProtection="1">
      <alignment horizontal="left" wrapText="1"/>
      <protection locked="0"/>
    </xf>
    <xf numFmtId="0" fontId="16" fillId="30" borderId="16" xfId="0" applyFont="1" applyFill="1" applyBorder="1" applyAlignment="1" applyProtection="1">
      <alignment horizontal="center" vertical="center"/>
      <protection locked="0"/>
    </xf>
    <xf numFmtId="0" fontId="16" fillId="30" borderId="53" xfId="0" applyFont="1" applyFill="1" applyBorder="1" applyAlignment="1" applyProtection="1">
      <alignment horizontal="center" vertical="center"/>
      <protection locked="0"/>
    </xf>
    <xf numFmtId="0" fontId="16" fillId="30" borderId="54" xfId="0" applyFont="1" applyFill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2" fontId="24" fillId="2" borderId="0" xfId="1" applyNumberFormat="1" applyFont="1" applyFill="1" applyBorder="1" applyAlignment="1" applyProtection="1">
      <alignment horizontal="center" vertical="center" wrapText="1"/>
    </xf>
    <xf numFmtId="2" fontId="24" fillId="27" borderId="0" xfId="1" applyNumberFormat="1" applyFont="1" applyFill="1" applyBorder="1" applyAlignment="1" applyProtection="1">
      <alignment horizontal="center" vertical="center" wrapText="1"/>
    </xf>
    <xf numFmtId="167" fontId="24" fillId="27" borderId="0" xfId="1" applyNumberFormat="1" applyFont="1" applyFill="1" applyBorder="1" applyAlignment="1" applyProtection="1">
      <alignment horizontal="center" vertical="center" wrapText="1"/>
    </xf>
    <xf numFmtId="171" fontId="24" fillId="2" borderId="0" xfId="1" applyNumberFormat="1" applyFont="1" applyFill="1" applyBorder="1" applyAlignment="1" applyProtection="1">
      <alignment horizontal="center" vertical="center" wrapText="1"/>
    </xf>
    <xf numFmtId="171" fontId="24" fillId="27" borderId="0" xfId="1" applyNumberFormat="1" applyFont="1" applyFill="1" applyBorder="1" applyAlignment="1" applyProtection="1">
      <alignment horizontal="center" vertical="center" wrapText="1"/>
    </xf>
    <xf numFmtId="167" fontId="24" fillId="2" borderId="0" xfId="1" applyNumberFormat="1" applyFont="1" applyFill="1" applyBorder="1" applyAlignment="1" applyProtection="1">
      <alignment horizontal="center" vertical="center" wrapText="1"/>
    </xf>
    <xf numFmtId="165" fontId="24" fillId="27" borderId="0" xfId="2" applyFont="1" applyFill="1" applyBorder="1" applyAlignment="1" applyProtection="1">
      <alignment horizontal="center" vertical="center" wrapText="1"/>
    </xf>
    <xf numFmtId="2" fontId="24" fillId="27" borderId="3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 applyProtection="1">
      <alignment horizontal="center" wrapText="1"/>
      <protection locked="0"/>
    </xf>
    <xf numFmtId="0" fontId="24" fillId="0" borderId="30" xfId="0" applyFont="1" applyBorder="1" applyAlignment="1" applyProtection="1">
      <alignment horizontal="center" vertical="center" wrapText="1"/>
      <protection locked="0"/>
    </xf>
    <xf numFmtId="2" fontId="6" fillId="31" borderId="1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top" wrapText="1"/>
      <protection locked="0"/>
    </xf>
    <xf numFmtId="2" fontId="24" fillId="0" borderId="1" xfId="1" applyNumberFormat="1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9" fontId="24" fillId="0" borderId="30" xfId="1" applyFont="1" applyBorder="1" applyAlignment="1" applyProtection="1">
      <alignment horizontal="center" vertical="center" wrapText="1"/>
      <protection locked="0"/>
    </xf>
    <xf numFmtId="167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5" fillId="11" borderId="24" xfId="0" applyFont="1" applyFill="1" applyBorder="1" applyAlignment="1" applyProtection="1">
      <alignment horizontal="left" vertical="center" wrapText="1"/>
      <protection locked="0"/>
    </xf>
    <xf numFmtId="0" fontId="25" fillId="11" borderId="25" xfId="0" applyFont="1" applyFill="1" applyBorder="1" applyAlignment="1" applyProtection="1">
      <alignment horizontal="left" vertical="center" wrapText="1"/>
      <protection locked="0"/>
    </xf>
    <xf numFmtId="0" fontId="25" fillId="11" borderId="33" xfId="0" applyFont="1" applyFill="1" applyBorder="1" applyAlignment="1" applyProtection="1">
      <alignment horizontal="left" vertical="center" wrapText="1"/>
      <protection locked="0"/>
    </xf>
    <xf numFmtId="0" fontId="25" fillId="11" borderId="26" xfId="0" applyFont="1" applyFill="1" applyBorder="1" applyAlignment="1" applyProtection="1">
      <alignment horizontal="left" vertical="center" wrapText="1"/>
      <protection locked="0"/>
    </xf>
    <xf numFmtId="0" fontId="25" fillId="11" borderId="18" xfId="0" applyFont="1" applyFill="1" applyBorder="1" applyAlignment="1" applyProtection="1">
      <alignment horizontal="center" vertical="center" wrapText="1"/>
      <protection locked="0"/>
    </xf>
    <xf numFmtId="0" fontId="25" fillId="11" borderId="20" xfId="0" applyFont="1" applyFill="1" applyBorder="1" applyAlignment="1" applyProtection="1">
      <alignment horizontal="center" vertical="center" wrapText="1"/>
      <protection locked="0"/>
    </xf>
    <xf numFmtId="0" fontId="24" fillId="0" borderId="27" xfId="0" applyFont="1" applyBorder="1" applyAlignment="1" applyProtection="1">
      <alignment horizontal="left" vertical="center" wrapText="1"/>
      <protection locked="0"/>
    </xf>
    <xf numFmtId="0" fontId="24" fillId="0" borderId="31" xfId="0" applyFont="1" applyBorder="1" applyAlignment="1" applyProtection="1">
      <alignment horizontal="left" vertical="center" wrapText="1"/>
      <protection locked="0"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167" fontId="6" fillId="31" borderId="1" xfId="1" applyNumberFormat="1" applyFont="1" applyFill="1" applyBorder="1" applyAlignment="1" applyProtection="1">
      <alignment horizontal="center" vertical="center" wrapText="1"/>
      <protection locked="0"/>
    </xf>
    <xf numFmtId="0" fontId="25" fillId="11" borderId="1" xfId="0" applyFont="1" applyFill="1" applyBorder="1" applyAlignment="1" applyProtection="1">
      <alignment horizontal="left" vertical="center" wrapText="1"/>
      <protection locked="0"/>
    </xf>
    <xf numFmtId="0" fontId="25" fillId="11" borderId="1" xfId="0" applyFont="1" applyFill="1" applyBorder="1" applyAlignment="1" applyProtection="1">
      <alignment horizontal="center" vertical="center" wrapText="1"/>
      <protection locked="0"/>
    </xf>
    <xf numFmtId="0" fontId="24" fillId="0" borderId="48" xfId="0" applyFont="1" applyBorder="1" applyAlignment="1" applyProtection="1">
      <alignment horizontal="center" vertical="center" wrapText="1"/>
      <protection locked="0"/>
    </xf>
    <xf numFmtId="0" fontId="24" fillId="0" borderId="63" xfId="0" applyFont="1" applyBorder="1" applyAlignment="1" applyProtection="1">
      <alignment horizontal="center" vertical="center" wrapText="1"/>
      <protection locked="0"/>
    </xf>
    <xf numFmtId="167" fontId="24" fillId="0" borderId="1" xfId="1" applyNumberFormat="1" applyFont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left" vertical="center" wrapText="1"/>
      <protection locked="0"/>
    </xf>
    <xf numFmtId="167" fontId="24" fillId="30" borderId="1" xfId="1" applyNumberFormat="1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wrapText="1"/>
      <protection locked="0"/>
    </xf>
    <xf numFmtId="2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top" wrapText="1"/>
      <protection locked="0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167" fontId="7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24" fillId="6" borderId="1" xfId="3" applyFont="1" applyFill="1" applyBorder="1" applyAlignment="1" applyProtection="1">
      <alignment horizontal="left" vertical="center" wrapText="1"/>
      <protection locked="0"/>
    </xf>
    <xf numFmtId="9" fontId="24" fillId="0" borderId="30" xfId="0" applyNumberFormat="1" applyFont="1" applyBorder="1" applyAlignment="1" applyProtection="1">
      <alignment horizontal="center" vertical="center" wrapText="1"/>
      <protection locked="0"/>
    </xf>
    <xf numFmtId="2" fontId="6" fillId="33" borderId="1" xfId="1" applyNumberFormat="1" applyFont="1" applyFill="1" applyBorder="1" applyAlignment="1" applyProtection="1">
      <alignment horizontal="center" vertical="center" wrapText="1"/>
      <protection locked="0"/>
    </xf>
    <xf numFmtId="0" fontId="24" fillId="2" borderId="1" xfId="3" applyFont="1" applyFill="1" applyBorder="1" applyAlignment="1" applyProtection="1">
      <alignment horizontal="left" vertical="center" wrapText="1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24" fillId="0" borderId="30" xfId="0" applyNumberFormat="1" applyFont="1" applyBorder="1" applyAlignment="1" applyProtection="1">
      <alignment horizontal="center" vertical="center" wrapText="1"/>
      <protection locked="0"/>
    </xf>
    <xf numFmtId="164" fontId="24" fillId="33" borderId="30" xfId="14" applyFont="1" applyFill="1" applyBorder="1" applyAlignment="1" applyProtection="1">
      <alignment horizontal="center" vertical="center" wrapText="1"/>
      <protection locked="0"/>
    </xf>
    <xf numFmtId="167" fontId="24" fillId="33" borderId="30" xfId="1" applyNumberFormat="1" applyFont="1" applyFill="1" applyBorder="1" applyAlignment="1" applyProtection="1">
      <alignment horizontal="center" vertical="center" wrapText="1"/>
      <protection locked="0"/>
    </xf>
    <xf numFmtId="174" fontId="24" fillId="0" borderId="30" xfId="0" applyNumberFormat="1" applyFont="1" applyBorder="1" applyAlignment="1" applyProtection="1">
      <alignment horizontal="center" vertical="center" wrapText="1"/>
      <protection locked="0"/>
    </xf>
    <xf numFmtId="167" fontId="24" fillId="0" borderId="30" xfId="0" applyNumberFormat="1" applyFont="1" applyBorder="1" applyAlignment="1" applyProtection="1">
      <alignment horizontal="center" vertical="center" wrapText="1"/>
      <protection locked="0"/>
    </xf>
    <xf numFmtId="10" fontId="24" fillId="0" borderId="30" xfId="1" applyNumberFormat="1" applyFont="1" applyBorder="1" applyAlignment="1" applyProtection="1">
      <alignment horizontal="center" vertical="center" wrapText="1"/>
      <protection locked="0"/>
    </xf>
    <xf numFmtId="2" fontId="24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166" fontId="24" fillId="0" borderId="30" xfId="0" applyNumberFormat="1" applyFont="1" applyBorder="1" applyAlignment="1" applyProtection="1">
      <alignment horizontal="center" vertical="center" wrapText="1"/>
      <protection locked="0"/>
    </xf>
    <xf numFmtId="167" fontId="68" fillId="2" borderId="64" xfId="1" applyNumberFormat="1" applyFont="1" applyFill="1" applyBorder="1" applyAlignment="1">
      <alignment horizontal="center" vertical="center" wrapText="1"/>
    </xf>
    <xf numFmtId="9" fontId="68" fillId="2" borderId="64" xfId="1" applyFont="1" applyFill="1" applyBorder="1" applyAlignment="1">
      <alignment horizontal="center" vertical="center" wrapText="1"/>
    </xf>
    <xf numFmtId="10" fontId="24" fillId="33" borderId="30" xfId="1" applyNumberFormat="1" applyFont="1" applyFill="1" applyBorder="1" applyAlignment="1" applyProtection="1">
      <alignment horizontal="center" vertical="center" wrapText="1"/>
      <protection locked="0"/>
    </xf>
    <xf numFmtId="0" fontId="25" fillId="11" borderId="1" xfId="0" applyFont="1" applyFill="1" applyBorder="1" applyAlignment="1" applyProtection="1">
      <alignment horizontal="left" vertical="center"/>
      <protection locked="0"/>
    </xf>
    <xf numFmtId="0" fontId="24" fillId="33" borderId="30" xfId="0" applyFont="1" applyFill="1" applyBorder="1" applyAlignment="1" applyProtection="1">
      <alignment horizontal="center" vertical="center" wrapText="1"/>
      <protection locked="0"/>
    </xf>
    <xf numFmtId="167" fontId="16" fillId="27" borderId="0" xfId="1" applyNumberFormat="1" applyFont="1" applyFill="1" applyAlignment="1" applyProtection="1">
      <alignment horizontal="center"/>
      <protection locked="0"/>
    </xf>
    <xf numFmtId="0" fontId="48" fillId="20" borderId="50" xfId="0" applyFont="1" applyFill="1" applyBorder="1" applyAlignment="1" applyProtection="1">
      <alignment horizontal="center" vertical="center" wrapText="1"/>
    </xf>
    <xf numFmtId="0" fontId="48" fillId="20" borderId="51" xfId="0" applyFont="1" applyFill="1" applyBorder="1" applyAlignment="1" applyProtection="1">
      <alignment horizontal="center" vertical="center" wrapText="1"/>
    </xf>
    <xf numFmtId="0" fontId="48" fillId="20" borderId="52" xfId="0" applyFont="1" applyFill="1" applyBorder="1" applyAlignment="1" applyProtection="1">
      <alignment horizontal="center" vertical="center" wrapText="1"/>
    </xf>
    <xf numFmtId="0" fontId="48" fillId="20" borderId="7" xfId="0" applyFont="1" applyFill="1" applyBorder="1" applyAlignment="1" applyProtection="1">
      <alignment horizontal="center" vertical="center" wrapText="1"/>
    </xf>
    <xf numFmtId="0" fontId="48" fillId="20" borderId="49" xfId="0" applyFont="1" applyFill="1" applyBorder="1" applyAlignment="1" applyProtection="1">
      <alignment horizontal="center" vertical="center" wrapText="1"/>
    </xf>
    <xf numFmtId="0" fontId="48" fillId="20" borderId="55" xfId="0" applyFont="1" applyFill="1" applyBorder="1" applyAlignment="1" applyProtection="1">
      <alignment horizontal="center" vertical="center" wrapText="1"/>
    </xf>
    <xf numFmtId="0" fontId="16" fillId="32" borderId="16" xfId="0" applyFont="1" applyFill="1" applyBorder="1" applyAlignment="1" applyProtection="1">
      <alignment horizontal="center" vertical="center" wrapText="1"/>
    </xf>
    <xf numFmtId="0" fontId="16" fillId="32" borderId="53" xfId="0" applyFont="1" applyFill="1" applyBorder="1" applyAlignment="1" applyProtection="1">
      <alignment horizontal="center" vertical="center" wrapText="1"/>
    </xf>
    <xf numFmtId="3" fontId="77" fillId="28" borderId="0" xfId="0" applyNumberFormat="1" applyFont="1" applyFill="1" applyAlignment="1">
      <alignment vertical="center" wrapText="1"/>
    </xf>
    <xf numFmtId="167" fontId="24" fillId="0" borderId="0" xfId="1" applyNumberFormat="1" applyFont="1" applyBorder="1" applyAlignment="1" applyProtection="1">
      <alignment horizontal="center" vertical="center" wrapText="1"/>
    </xf>
    <xf numFmtId="0" fontId="79" fillId="0" borderId="0" xfId="0" applyFont="1" applyBorder="1" applyAlignment="1" applyProtection="1">
      <alignment horizontal="center" vertical="center" wrapText="1"/>
      <protection locked="0"/>
    </xf>
    <xf numFmtId="0" fontId="79" fillId="4" borderId="11" xfId="0" applyFont="1" applyFill="1" applyBorder="1" applyAlignment="1" applyProtection="1">
      <alignment horizontal="left" vertical="center" wrapText="1"/>
      <protection locked="0"/>
    </xf>
    <xf numFmtId="0" fontId="79" fillId="4" borderId="8" xfId="0" applyFont="1" applyFill="1" applyBorder="1" applyAlignment="1" applyProtection="1">
      <alignment horizontal="left" vertical="center" wrapText="1"/>
      <protection locked="0"/>
    </xf>
    <xf numFmtId="0" fontId="78" fillId="11" borderId="2" xfId="0" applyFont="1" applyFill="1" applyBorder="1" applyAlignment="1" applyProtection="1">
      <alignment horizontal="left" vertical="center" wrapText="1"/>
      <protection locked="0"/>
    </xf>
    <xf numFmtId="0" fontId="78" fillId="11" borderId="48" xfId="0" applyFont="1" applyFill="1" applyBorder="1" applyAlignment="1" applyProtection="1">
      <alignment horizontal="left" vertical="center" wrapText="1"/>
      <protection locked="0"/>
    </xf>
    <xf numFmtId="0" fontId="78" fillId="11" borderId="56" xfId="0" applyFont="1" applyFill="1" applyBorder="1" applyAlignment="1" applyProtection="1">
      <alignment horizontal="center" vertical="center" wrapText="1"/>
    </xf>
    <xf numFmtId="0" fontId="78" fillId="11" borderId="4" xfId="0" applyFont="1" applyFill="1" applyBorder="1" applyAlignment="1" applyProtection="1">
      <alignment horizontal="center" vertical="center" wrapText="1"/>
    </xf>
    <xf numFmtId="0" fontId="84" fillId="0" borderId="34" xfId="0" applyFont="1" applyBorder="1" applyAlignment="1" applyProtection="1">
      <alignment horizontal="center" vertical="center"/>
    </xf>
    <xf numFmtId="0" fontId="78" fillId="11" borderId="21" xfId="0" applyFont="1" applyFill="1" applyBorder="1" applyAlignment="1" applyProtection="1">
      <alignment horizontal="right" vertical="center" wrapText="1"/>
    </xf>
    <xf numFmtId="0" fontId="78" fillId="11" borderId="22" xfId="0" applyFont="1" applyFill="1" applyBorder="1" applyAlignment="1" applyProtection="1">
      <alignment horizontal="right" vertical="center" wrapText="1"/>
    </xf>
    <xf numFmtId="0" fontId="78" fillId="11" borderId="23" xfId="0" applyFont="1" applyFill="1" applyBorder="1" applyAlignment="1" applyProtection="1">
      <alignment horizontal="right" vertical="center" wrapText="1"/>
    </xf>
    <xf numFmtId="0" fontId="78" fillId="11" borderId="15" xfId="0" applyFont="1" applyFill="1" applyBorder="1" applyAlignment="1" applyProtection="1">
      <alignment horizontal="center" vertical="center" wrapText="1"/>
    </xf>
    <xf numFmtId="0" fontId="78" fillId="11" borderId="10" xfId="0" applyFont="1" applyFill="1" applyBorder="1" applyAlignment="1" applyProtection="1">
      <alignment horizontal="center" vertical="center" wrapText="1"/>
    </xf>
    <xf numFmtId="0" fontId="78" fillId="11" borderId="1" xfId="0" applyFont="1" applyFill="1" applyBorder="1" applyAlignment="1" applyProtection="1">
      <alignment horizontal="center" vertical="center" wrapText="1"/>
    </xf>
    <xf numFmtId="0" fontId="78" fillId="11" borderId="11" xfId="0" applyFont="1" applyFill="1" applyBorder="1" applyAlignment="1" applyProtection="1">
      <alignment horizontal="center" vertical="center" wrapText="1"/>
    </xf>
    <xf numFmtId="0" fontId="78" fillId="11" borderId="8" xfId="0" applyFont="1" applyFill="1" applyBorder="1" applyAlignment="1" applyProtection="1">
      <alignment horizontal="center" vertical="center" wrapText="1"/>
    </xf>
    <xf numFmtId="0" fontId="78" fillId="11" borderId="3" xfId="0" applyFont="1" applyFill="1" applyBorder="1" applyAlignment="1" applyProtection="1">
      <alignment horizontal="center" vertical="center" wrapText="1"/>
    </xf>
    <xf numFmtId="0" fontId="78" fillId="11" borderId="17" xfId="0" applyFont="1" applyFill="1" applyBorder="1" applyAlignment="1" applyProtection="1">
      <alignment horizontal="left" vertical="center" wrapText="1"/>
      <protection locked="0"/>
    </xf>
    <xf numFmtId="0" fontId="78" fillId="11" borderId="0" xfId="0" applyFont="1" applyFill="1" applyBorder="1" applyAlignment="1" applyProtection="1">
      <alignment horizontal="left" vertical="center" wrapText="1"/>
      <protection locked="0"/>
    </xf>
    <xf numFmtId="0" fontId="79" fillId="20" borderId="17" xfId="0" applyFont="1" applyFill="1" applyBorder="1" applyAlignment="1" applyProtection="1">
      <alignment horizontal="center" vertical="center" wrapText="1"/>
    </xf>
    <xf numFmtId="0" fontId="79" fillId="20" borderId="0" xfId="0" applyFont="1" applyFill="1" applyBorder="1" applyAlignment="1" applyProtection="1">
      <alignment horizontal="center" vertical="center" wrapText="1"/>
    </xf>
    <xf numFmtId="0" fontId="79" fillId="20" borderId="57" xfId="0" applyFont="1" applyFill="1" applyBorder="1" applyAlignment="1" applyProtection="1">
      <alignment horizontal="center" vertical="center" wrapText="1"/>
    </xf>
    <xf numFmtId="0" fontId="79" fillId="20" borderId="18" xfId="0" applyFont="1" applyFill="1" applyBorder="1" applyAlignment="1" applyProtection="1">
      <alignment horizontal="center" vertical="center" wrapText="1"/>
    </xf>
    <xf numFmtId="0" fontId="79" fillId="20" borderId="19" xfId="0" applyFont="1" applyFill="1" applyBorder="1" applyAlignment="1" applyProtection="1">
      <alignment horizontal="center" vertical="center" wrapText="1"/>
    </xf>
    <xf numFmtId="0" fontId="79" fillId="20" borderId="20" xfId="0" applyFont="1" applyFill="1" applyBorder="1" applyAlignment="1" applyProtection="1">
      <alignment horizontal="center" vertical="center" wrapText="1"/>
    </xf>
    <xf numFmtId="0" fontId="79" fillId="4" borderId="0" xfId="0" applyFont="1" applyFill="1" applyBorder="1" applyAlignment="1" applyProtection="1">
      <alignment horizontal="center" vertical="center" wrapText="1"/>
    </xf>
    <xf numFmtId="0" fontId="80" fillId="2" borderId="15" xfId="0" applyFont="1" applyFill="1" applyBorder="1" applyAlignment="1" applyProtection="1">
      <alignment horizontal="center" vertical="center" wrapText="1"/>
    </xf>
    <xf numFmtId="0" fontId="80" fillId="2" borderId="10" xfId="0" applyFont="1" applyFill="1" applyBorder="1" applyAlignment="1" applyProtection="1">
      <alignment horizontal="center" vertical="center" wrapText="1"/>
    </xf>
    <xf numFmtId="0" fontId="80" fillId="2" borderId="4" xfId="0" applyFont="1" applyFill="1" applyBorder="1" applyAlignment="1" applyProtection="1">
      <alignment horizontal="center" vertical="center" wrapText="1"/>
    </xf>
    <xf numFmtId="0" fontId="80" fillId="2" borderId="1" xfId="0" applyFont="1" applyFill="1" applyBorder="1" applyAlignment="1" applyProtection="1">
      <alignment horizontal="center" vertical="center" wrapText="1"/>
    </xf>
    <xf numFmtId="0" fontId="80" fillId="2" borderId="56" xfId="0" applyFont="1" applyFill="1" applyBorder="1" applyAlignment="1" applyProtection="1">
      <alignment horizontal="center" vertical="center" wrapText="1"/>
    </xf>
    <xf numFmtId="0" fontId="25" fillId="11" borderId="11" xfId="0" applyFont="1" applyFill="1" applyBorder="1" applyAlignment="1" applyProtection="1">
      <alignment horizontal="left" vertical="center" wrapText="1"/>
      <protection locked="0"/>
    </xf>
    <xf numFmtId="0" fontId="25" fillId="11" borderId="8" xfId="0" applyFont="1" applyFill="1" applyBorder="1" applyAlignment="1" applyProtection="1">
      <alignment horizontal="left" vertical="center" wrapText="1"/>
      <protection locked="0"/>
    </xf>
    <xf numFmtId="0" fontId="25" fillId="11" borderId="3" xfId="0" applyFont="1" applyFill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28" fillId="2" borderId="13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</xf>
    <xf numFmtId="0" fontId="23" fillId="3" borderId="1" xfId="0" applyFont="1" applyFill="1" applyBorder="1" applyAlignment="1" applyProtection="1">
      <alignment horizontal="left" vertical="center" wrapText="1"/>
    </xf>
    <xf numFmtId="41" fontId="25" fillId="11" borderId="48" xfId="0" applyNumberFormat="1" applyFont="1" applyFill="1" applyBorder="1" applyAlignment="1" applyProtection="1">
      <alignment horizontal="center" vertical="center" wrapText="1"/>
    </xf>
    <xf numFmtId="41" fontId="25" fillId="11" borderId="4" xfId="0" applyNumberFormat="1" applyFont="1" applyFill="1" applyBorder="1" applyAlignment="1" applyProtection="1">
      <alignment horizontal="center" vertical="center" wrapText="1"/>
    </xf>
    <xf numFmtId="0" fontId="25" fillId="11" borderId="11" xfId="0" applyFont="1" applyFill="1" applyBorder="1" applyAlignment="1" applyProtection="1">
      <alignment horizontal="left" vertical="center"/>
      <protection locked="0"/>
    </xf>
    <xf numFmtId="0" fontId="25" fillId="11" borderId="8" xfId="0" applyFont="1" applyFill="1" applyBorder="1" applyAlignment="1" applyProtection="1">
      <alignment horizontal="left" vertical="center"/>
      <protection locked="0"/>
    </xf>
    <xf numFmtId="0" fontId="25" fillId="11" borderId="3" xfId="0" applyFont="1" applyFill="1" applyBorder="1" applyAlignment="1" applyProtection="1">
      <alignment horizontal="left" vertical="center"/>
      <protection locked="0"/>
    </xf>
    <xf numFmtId="0" fontId="25" fillId="11" borderId="12" xfId="0" applyFont="1" applyFill="1" applyBorder="1" applyAlignment="1" applyProtection="1">
      <alignment horizontal="center" vertical="center" wrapText="1"/>
    </xf>
    <xf numFmtId="0" fontId="25" fillId="11" borderId="14" xfId="0" applyFont="1" applyFill="1" applyBorder="1" applyAlignment="1" applyProtection="1">
      <alignment horizontal="center" vertical="center" wrapText="1"/>
    </xf>
    <xf numFmtId="0" fontId="25" fillId="11" borderId="18" xfId="0" applyFont="1" applyFill="1" applyBorder="1" applyAlignment="1" applyProtection="1">
      <alignment horizontal="center" vertical="center" wrapText="1"/>
    </xf>
    <xf numFmtId="0" fontId="25" fillId="11" borderId="20" xfId="0" applyFont="1" applyFill="1" applyBorder="1" applyAlignment="1" applyProtection="1">
      <alignment horizontal="center" vertical="center" wrapText="1"/>
    </xf>
    <xf numFmtId="0" fontId="25" fillId="11" borderId="1" xfId="0" applyFont="1" applyFill="1" applyBorder="1" applyAlignment="1" applyProtection="1">
      <alignment horizontal="left" vertical="center" wrapText="1"/>
    </xf>
    <xf numFmtId="166" fontId="25" fillId="11" borderId="1" xfId="0" applyNumberFormat="1" applyFont="1" applyFill="1" applyBorder="1" applyAlignment="1" applyProtection="1">
      <alignment horizontal="center" vertical="center" wrapText="1"/>
    </xf>
    <xf numFmtId="0" fontId="48" fillId="20" borderId="12" xfId="0" applyFont="1" applyFill="1" applyBorder="1" applyAlignment="1" applyProtection="1">
      <alignment horizontal="center" vertical="center" wrapText="1"/>
    </xf>
    <xf numFmtId="0" fontId="48" fillId="20" borderId="13" xfId="0" applyFont="1" applyFill="1" applyBorder="1" applyAlignment="1" applyProtection="1">
      <alignment horizontal="center" vertical="center" wrapText="1"/>
    </xf>
    <xf numFmtId="0" fontId="48" fillId="20" borderId="14" xfId="0" applyFont="1" applyFill="1" applyBorder="1" applyAlignment="1" applyProtection="1">
      <alignment horizontal="center" vertical="center" wrapText="1"/>
    </xf>
    <xf numFmtId="0" fontId="48" fillId="20" borderId="17" xfId="0" applyFont="1" applyFill="1" applyBorder="1" applyAlignment="1" applyProtection="1">
      <alignment horizontal="center" vertical="center" wrapText="1"/>
    </xf>
    <xf numFmtId="0" fontId="48" fillId="20" borderId="0" xfId="0" applyFont="1" applyFill="1" applyBorder="1" applyAlignment="1" applyProtection="1">
      <alignment horizontal="center" vertical="center" wrapText="1"/>
    </xf>
    <xf numFmtId="0" fontId="48" fillId="20" borderId="57" xfId="0" applyFont="1" applyFill="1" applyBorder="1" applyAlignment="1" applyProtection="1">
      <alignment horizontal="center" vertical="center" wrapText="1"/>
    </xf>
    <xf numFmtId="0" fontId="48" fillId="20" borderId="18" xfId="0" applyFont="1" applyFill="1" applyBorder="1" applyAlignment="1" applyProtection="1">
      <alignment horizontal="center" vertical="center" wrapText="1"/>
    </xf>
    <xf numFmtId="0" fontId="48" fillId="20" borderId="19" xfId="0" applyFont="1" applyFill="1" applyBorder="1" applyAlignment="1" applyProtection="1">
      <alignment horizontal="center" vertical="center" wrapText="1"/>
    </xf>
    <xf numFmtId="0" fontId="48" fillId="20" borderId="20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6" fillId="4" borderId="1" xfId="0" applyFont="1" applyFill="1" applyBorder="1" applyAlignment="1" applyProtection="1">
      <alignment horizontal="left" vertical="top" wrapText="1"/>
      <protection locked="0"/>
    </xf>
    <xf numFmtId="0" fontId="25" fillId="11" borderId="1" xfId="0" applyFont="1" applyFill="1" applyBorder="1" applyAlignment="1" applyProtection="1">
      <alignment horizontal="center" vertical="center" textRotation="90"/>
    </xf>
    <xf numFmtId="0" fontId="5" fillId="7" borderId="1" xfId="0" applyFont="1" applyFill="1" applyBorder="1" applyAlignment="1" applyProtection="1">
      <alignment horizontal="center" vertical="center" wrapText="1"/>
    </xf>
    <xf numFmtId="0" fontId="5" fillId="12" borderId="2" xfId="0" applyFont="1" applyFill="1" applyBorder="1" applyAlignment="1" applyProtection="1">
      <alignment horizontal="center" vertical="center" wrapText="1"/>
    </xf>
    <xf numFmtId="0" fontId="5" fillId="12" borderId="4" xfId="0" applyFont="1" applyFill="1" applyBorder="1" applyAlignment="1" applyProtection="1">
      <alignment horizontal="center" vertical="center" wrapText="1"/>
    </xf>
    <xf numFmtId="41" fontId="25" fillId="11" borderId="1" xfId="0" applyNumberFormat="1" applyFont="1" applyFill="1" applyBorder="1" applyAlignment="1" applyProtection="1">
      <alignment horizontal="center" vertical="center" wrapText="1"/>
    </xf>
    <xf numFmtId="0" fontId="5" fillId="12" borderId="1" xfId="0" applyFont="1" applyFill="1" applyBorder="1" applyAlignment="1" applyProtection="1">
      <alignment horizontal="center" vertical="center" wrapText="1"/>
    </xf>
    <xf numFmtId="0" fontId="5" fillId="12" borderId="50" xfId="0" applyFont="1" applyFill="1" applyBorder="1" applyAlignment="1" applyProtection="1">
      <alignment horizontal="center" vertical="center" wrapText="1"/>
      <protection locked="0"/>
    </xf>
    <xf numFmtId="0" fontId="5" fillId="12" borderId="51" xfId="0" applyFont="1" applyFill="1" applyBorder="1" applyAlignment="1" applyProtection="1">
      <alignment horizontal="center" vertical="center" wrapText="1"/>
      <protection locked="0"/>
    </xf>
    <xf numFmtId="0" fontId="5" fillId="12" borderId="52" xfId="0" applyFont="1" applyFill="1" applyBorder="1" applyAlignment="1" applyProtection="1">
      <alignment horizontal="center" vertical="center" wrapText="1"/>
      <protection locked="0"/>
    </xf>
    <xf numFmtId="0" fontId="5" fillId="12" borderId="5" xfId="0" applyFont="1" applyFill="1" applyBorder="1" applyAlignment="1" applyProtection="1">
      <alignment horizontal="center" vertical="center" wrapText="1"/>
      <protection locked="0"/>
    </xf>
    <xf numFmtId="0" fontId="5" fillId="12" borderId="0" xfId="0" applyFont="1" applyFill="1" applyBorder="1" applyAlignment="1" applyProtection="1">
      <alignment horizontal="center" vertical="center" wrapText="1"/>
      <protection locked="0"/>
    </xf>
    <xf numFmtId="0" fontId="5" fillId="12" borderId="6" xfId="0" applyFont="1" applyFill="1" applyBorder="1" applyAlignment="1" applyProtection="1">
      <alignment horizontal="center" vertical="center" wrapText="1"/>
      <protection locked="0"/>
    </xf>
    <xf numFmtId="0" fontId="5" fillId="12" borderId="7" xfId="0" applyFont="1" applyFill="1" applyBorder="1" applyAlignment="1" applyProtection="1">
      <alignment horizontal="center" vertical="center" wrapText="1"/>
      <protection locked="0"/>
    </xf>
    <xf numFmtId="0" fontId="5" fillId="12" borderId="49" xfId="0" applyFont="1" applyFill="1" applyBorder="1" applyAlignment="1" applyProtection="1">
      <alignment horizontal="center" vertical="center" wrapText="1"/>
      <protection locked="0"/>
    </xf>
    <xf numFmtId="0" fontId="5" fillId="12" borderId="55" xfId="0" applyFont="1" applyFill="1" applyBorder="1" applyAlignment="1" applyProtection="1">
      <alignment horizontal="center" vertical="center" wrapText="1"/>
      <protection locked="0"/>
    </xf>
    <xf numFmtId="0" fontId="6" fillId="20" borderId="12" xfId="0" applyFont="1" applyFill="1" applyBorder="1" applyAlignment="1" applyProtection="1">
      <alignment horizontal="center" vertical="center" wrapText="1"/>
    </xf>
    <xf numFmtId="0" fontId="6" fillId="20" borderId="13" xfId="0" applyFont="1" applyFill="1" applyBorder="1" applyAlignment="1" applyProtection="1">
      <alignment horizontal="center" vertical="center" wrapText="1"/>
    </xf>
    <xf numFmtId="0" fontId="6" fillId="20" borderId="14" xfId="0" applyFont="1" applyFill="1" applyBorder="1" applyAlignment="1" applyProtection="1">
      <alignment horizontal="center" vertical="center" wrapText="1"/>
    </xf>
    <xf numFmtId="0" fontId="6" fillId="20" borderId="18" xfId="0" applyFont="1" applyFill="1" applyBorder="1" applyAlignment="1" applyProtection="1">
      <alignment horizontal="center" vertical="center" wrapText="1"/>
    </xf>
    <xf numFmtId="0" fontId="6" fillId="20" borderId="19" xfId="0" applyFont="1" applyFill="1" applyBorder="1" applyAlignment="1" applyProtection="1">
      <alignment horizontal="center" vertical="center" wrapText="1"/>
    </xf>
    <xf numFmtId="0" fontId="6" fillId="20" borderId="20" xfId="0" applyFont="1" applyFill="1" applyBorder="1" applyAlignment="1" applyProtection="1">
      <alignment horizontal="center" vertical="center" wrapText="1"/>
    </xf>
    <xf numFmtId="0" fontId="25" fillId="11" borderId="3" xfId="0" applyFont="1" applyFill="1" applyBorder="1" applyAlignment="1" applyProtection="1">
      <alignment horizontal="center" vertical="center" textRotation="90"/>
    </xf>
    <xf numFmtId="0" fontId="23" fillId="2" borderId="1" xfId="0" applyFont="1" applyFill="1" applyBorder="1" applyAlignment="1" applyProtection="1">
      <alignment horizontal="left" vertical="center"/>
    </xf>
    <xf numFmtId="41" fontId="5" fillId="2" borderId="1" xfId="0" applyNumberFormat="1" applyFont="1" applyFill="1" applyBorder="1" applyAlignment="1" applyProtection="1">
      <alignment horizontal="left" vertical="center" wrapText="1"/>
    </xf>
    <xf numFmtId="41" fontId="25" fillId="11" borderId="1" xfId="0" applyNumberFormat="1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25" fillId="14" borderId="17" xfId="0" applyFont="1" applyFill="1" applyBorder="1" applyAlignment="1">
      <alignment horizontal="center" vertical="center" wrapText="1"/>
    </xf>
    <xf numFmtId="0" fontId="25" fillId="14" borderId="6" xfId="0" applyFont="1" applyFill="1" applyBorder="1" applyAlignment="1">
      <alignment horizontal="center" vertical="center" wrapText="1"/>
    </xf>
    <xf numFmtId="49" fontId="22" fillId="14" borderId="45" xfId="2" applyNumberFormat="1" applyFont="1" applyFill="1" applyBorder="1" applyAlignment="1">
      <alignment horizontal="center" vertical="center"/>
    </xf>
    <xf numFmtId="49" fontId="22" fillId="14" borderId="40" xfId="2" applyNumberFormat="1" applyFont="1" applyFill="1" applyBorder="1" applyAlignment="1">
      <alignment horizontal="center" vertical="center"/>
    </xf>
    <xf numFmtId="49" fontId="22" fillId="14" borderId="45" xfId="2" applyNumberFormat="1" applyFont="1" applyFill="1" applyBorder="1" applyAlignment="1">
      <alignment horizontal="center" vertical="center" wrapText="1"/>
    </xf>
    <xf numFmtId="165" fontId="22" fillId="14" borderId="42" xfId="2" applyFont="1" applyFill="1" applyBorder="1" applyAlignment="1">
      <alignment horizontal="center" vertical="center"/>
    </xf>
    <xf numFmtId="165" fontId="22" fillId="14" borderId="46" xfId="2" applyFont="1" applyFill="1" applyBorder="1" applyAlignment="1">
      <alignment horizontal="center" vertical="center"/>
    </xf>
    <xf numFmtId="165" fontId="22" fillId="14" borderId="47" xfId="2" applyFont="1" applyFill="1" applyBorder="1" applyAlignment="1">
      <alignment horizontal="center" vertical="center"/>
    </xf>
    <xf numFmtId="165" fontId="22" fillId="14" borderId="36" xfId="2" applyFont="1" applyFill="1" applyBorder="1" applyAlignment="1">
      <alignment horizontal="center" vertical="center"/>
    </xf>
    <xf numFmtId="165" fontId="22" fillId="14" borderId="43" xfId="2" applyFont="1" applyFill="1" applyBorder="1" applyAlignment="1">
      <alignment horizontal="center" vertical="center"/>
    </xf>
    <xf numFmtId="165" fontId="22" fillId="14" borderId="44" xfId="2" applyFont="1" applyFill="1" applyBorder="1" applyAlignment="1">
      <alignment horizontal="center" vertical="center"/>
    </xf>
    <xf numFmtId="9" fontId="22" fillId="14" borderId="35" xfId="1" applyFont="1" applyFill="1" applyBorder="1" applyAlignment="1">
      <alignment horizontal="center" vertical="center"/>
    </xf>
    <xf numFmtId="49" fontId="22" fillId="14" borderId="35" xfId="2" applyNumberFormat="1" applyFont="1" applyFill="1" applyBorder="1" applyAlignment="1">
      <alignment horizontal="center" vertical="center"/>
    </xf>
    <xf numFmtId="169" fontId="22" fillId="14" borderId="42" xfId="2" applyNumberFormat="1" applyFont="1" applyFill="1" applyBorder="1" applyAlignment="1">
      <alignment horizontal="center" vertical="center" wrapText="1"/>
    </xf>
    <xf numFmtId="169" fontId="22" fillId="14" borderId="36" xfId="2" applyNumberFormat="1" applyFont="1" applyFill="1" applyBorder="1" applyAlignment="1">
      <alignment horizontal="center" vertical="center" wrapText="1"/>
    </xf>
    <xf numFmtId="0" fontId="22" fillId="14" borderId="35" xfId="0" applyFont="1" applyFill="1" applyBorder="1" applyAlignment="1">
      <alignment horizontal="center" vertical="center"/>
    </xf>
    <xf numFmtId="169" fontId="22" fillId="14" borderId="0" xfId="2" applyNumberFormat="1" applyFont="1" applyFill="1" applyBorder="1" applyAlignment="1">
      <alignment horizontal="center" vertical="center" wrapText="1"/>
    </xf>
    <xf numFmtId="0" fontId="23" fillId="10" borderId="1" xfId="11" applyFont="1" applyFill="1" applyBorder="1" applyAlignment="1">
      <alignment horizontal="left" vertical="center" wrapText="1" readingOrder="1"/>
    </xf>
    <xf numFmtId="0" fontId="25" fillId="11" borderId="1" xfId="11" applyFont="1" applyFill="1" applyBorder="1" applyAlignment="1">
      <alignment horizontal="right"/>
    </xf>
    <xf numFmtId="0" fontId="25" fillId="11" borderId="1" xfId="11" applyFont="1" applyFill="1" applyBorder="1" applyAlignment="1">
      <alignment horizontal="center" vertical="center" wrapText="1"/>
    </xf>
    <xf numFmtId="0" fontId="25" fillId="11" borderId="1" xfId="11" applyFont="1" applyFill="1" applyBorder="1" applyAlignment="1">
      <alignment horizontal="center" vertical="center" wrapText="1" readingOrder="1"/>
    </xf>
    <xf numFmtId="0" fontId="25" fillId="11" borderId="48" xfId="11" applyFont="1" applyFill="1" applyBorder="1" applyAlignment="1">
      <alignment horizontal="center" vertical="center" wrapText="1" readingOrder="1"/>
    </xf>
    <xf numFmtId="41" fontId="25" fillId="11" borderId="1" xfId="11" applyNumberFormat="1" applyFont="1" applyFill="1" applyBorder="1" applyAlignment="1">
      <alignment horizontal="center" vertical="center" wrapText="1"/>
    </xf>
    <xf numFmtId="41" fontId="25" fillId="11" borderId="48" xfId="11" applyNumberFormat="1" applyFont="1" applyFill="1" applyBorder="1" applyAlignment="1">
      <alignment horizontal="center" vertical="center" wrapText="1"/>
    </xf>
    <xf numFmtId="0" fontId="23" fillId="8" borderId="1" xfId="11" applyFont="1" applyFill="1" applyBorder="1" applyAlignment="1">
      <alignment horizontal="left" vertical="center" readingOrder="1"/>
    </xf>
    <xf numFmtId="0" fontId="23" fillId="9" borderId="1" xfId="11" applyFont="1" applyFill="1" applyBorder="1" applyAlignment="1">
      <alignment horizontal="left" vertical="center" wrapText="1" readingOrder="1"/>
    </xf>
    <xf numFmtId="49" fontId="66" fillId="0" borderId="0" xfId="0" applyNumberFormat="1" applyFont="1" applyAlignment="1">
      <alignment horizontal="right" vertical="top" wrapText="1" shrinkToFit="1" readingOrder="1"/>
    </xf>
    <xf numFmtId="0" fontId="66" fillId="0" borderId="0" xfId="0" applyFont="1" applyAlignment="1">
      <alignment horizontal="left" vertical="top" wrapText="1" shrinkToFit="1" readingOrder="1"/>
    </xf>
    <xf numFmtId="49" fontId="65" fillId="26" borderId="0" xfId="0" applyNumberFormat="1" applyFont="1" applyFill="1" applyAlignment="1">
      <alignment horizontal="left" vertical="center" wrapText="1" shrinkToFit="1" readingOrder="1"/>
    </xf>
    <xf numFmtId="0" fontId="65" fillId="26" borderId="0" xfId="0" applyFont="1" applyFill="1" applyAlignment="1">
      <alignment horizontal="right" vertical="center" wrapText="1" shrinkToFit="1" readingOrder="1"/>
    </xf>
    <xf numFmtId="4" fontId="65" fillId="26" borderId="0" xfId="0" applyNumberFormat="1" applyFont="1" applyFill="1" applyAlignment="1">
      <alignment horizontal="right" vertical="center" wrapText="1" shrinkToFit="1" readingOrder="1"/>
    </xf>
    <xf numFmtId="49" fontId="65" fillId="0" borderId="0" xfId="0" applyNumberFormat="1" applyFont="1" applyAlignment="1">
      <alignment horizontal="left" vertical="center" wrapText="1" shrinkToFit="1" readingOrder="1"/>
    </xf>
    <xf numFmtId="0" fontId="65" fillId="0" borderId="0" xfId="0" applyFont="1" applyAlignment="1">
      <alignment horizontal="right" vertical="center" wrapText="1" shrinkToFit="1" readingOrder="1"/>
    </xf>
    <xf numFmtId="4" fontId="65" fillId="0" borderId="0" xfId="0" applyNumberFormat="1" applyFont="1" applyAlignment="1">
      <alignment horizontal="right" vertical="center" wrapText="1" shrinkToFit="1" readingOrder="1"/>
    </xf>
    <xf numFmtId="49" fontId="64" fillId="26" borderId="0" xfId="0" applyNumberFormat="1" applyFont="1" applyFill="1" applyAlignment="1">
      <alignment horizontal="left" vertical="center" wrapText="1" shrinkToFit="1" readingOrder="1"/>
    </xf>
    <xf numFmtId="0" fontId="64" fillId="26" borderId="0" xfId="0" applyFont="1" applyFill="1" applyAlignment="1">
      <alignment horizontal="right" vertical="center" wrapText="1" shrinkToFit="1" readingOrder="1"/>
    </xf>
    <xf numFmtId="4" fontId="64" fillId="26" borderId="0" xfId="0" applyNumberFormat="1" applyFont="1" applyFill="1" applyAlignment="1">
      <alignment horizontal="right" vertical="center" wrapText="1" shrinkToFit="1" readingOrder="1"/>
    </xf>
    <xf numFmtId="49" fontId="64" fillId="0" borderId="0" xfId="0" applyNumberFormat="1" applyFont="1" applyAlignment="1">
      <alignment horizontal="left" vertical="center" wrapText="1" shrinkToFit="1" readingOrder="1"/>
    </xf>
    <xf numFmtId="0" fontId="64" fillId="0" borderId="0" xfId="0" applyFont="1" applyAlignment="1">
      <alignment horizontal="right" vertical="center" wrapText="1" shrinkToFit="1" readingOrder="1"/>
    </xf>
    <xf numFmtId="4" fontId="64" fillId="0" borderId="0" xfId="0" applyNumberFormat="1" applyFont="1" applyAlignment="1">
      <alignment horizontal="right" vertical="center" wrapText="1" shrinkToFit="1" readingOrder="1"/>
    </xf>
    <xf numFmtId="0" fontId="63" fillId="23" borderId="0" xfId="0" applyFont="1" applyFill="1" applyAlignment="1">
      <alignment horizontal="left" vertical="center" wrapText="1" shrinkToFit="1" readingOrder="1"/>
    </xf>
    <xf numFmtId="0" fontId="63" fillId="23" borderId="0" xfId="0" applyFont="1" applyFill="1" applyAlignment="1">
      <alignment horizontal="right" vertical="center" wrapText="1" shrinkToFit="1" readingOrder="1"/>
    </xf>
    <xf numFmtId="0" fontId="62" fillId="0" borderId="0" xfId="0" applyFont="1" applyAlignment="1">
      <alignment horizontal="center" vertical="top" wrapText="1" shrinkToFit="1" readingOrder="1"/>
    </xf>
    <xf numFmtId="0" fontId="63" fillId="24" borderId="0" xfId="0" applyFont="1" applyFill="1" applyAlignment="1">
      <alignment horizontal="left" vertical="top" wrapText="1" shrinkToFit="1" readingOrder="1"/>
    </xf>
    <xf numFmtId="0" fontId="57" fillId="0" borderId="0" xfId="0" applyFont="1" applyAlignment="1">
      <alignment horizontal="left" vertical="top" wrapText="1" shrinkToFit="1" readingOrder="1"/>
    </xf>
    <xf numFmtId="0" fontId="60" fillId="0" borderId="0" xfId="0" applyFont="1" applyAlignment="1">
      <alignment horizontal="right" vertical="top" wrapText="1" shrinkToFit="1" readingOrder="1"/>
    </xf>
    <xf numFmtId="0" fontId="59" fillId="25" borderId="0" xfId="0" applyFont="1" applyFill="1" applyAlignment="1">
      <alignment horizontal="left" vertical="top" wrapText="1" shrinkToFit="1" readingOrder="1"/>
    </xf>
    <xf numFmtId="0" fontId="63" fillId="24" borderId="0" xfId="0" applyFont="1" applyFill="1" applyAlignment="1">
      <alignment horizontal="left" vertical="center" wrapText="1" shrinkToFit="1" readingOrder="1"/>
    </xf>
    <xf numFmtId="0" fontId="58" fillId="0" borderId="0" xfId="0" applyFont="1" applyAlignment="1">
      <alignment horizontal="left" vertical="top" wrapText="1" shrinkToFit="1" readingOrder="1"/>
    </xf>
    <xf numFmtId="0" fontId="59" fillId="23" borderId="0" xfId="0" applyFont="1" applyFill="1" applyAlignment="1">
      <alignment horizontal="left" vertical="top" wrapText="1" shrinkToFit="1" readingOrder="1"/>
    </xf>
    <xf numFmtId="0" fontId="61" fillId="0" borderId="0" xfId="0" applyFont="1" applyAlignment="1">
      <alignment horizontal="center" vertical="top" wrapText="1" shrinkToFit="1" readingOrder="1"/>
    </xf>
    <xf numFmtId="0" fontId="63" fillId="23" borderId="59" xfId="0" applyFont="1" applyFill="1" applyBorder="1" applyAlignment="1">
      <alignment horizontal="left" vertical="top" wrapText="1" shrinkToFit="1" readingOrder="1"/>
    </xf>
    <xf numFmtId="0" fontId="63" fillId="23" borderId="60" xfId="0" applyFont="1" applyFill="1" applyBorder="1" applyAlignment="1">
      <alignment horizontal="center" vertical="center" wrapText="1" shrinkToFit="1" readingOrder="1"/>
    </xf>
    <xf numFmtId="0" fontId="63" fillId="23" borderId="62" xfId="0" applyFont="1" applyFill="1" applyBorder="1" applyAlignment="1">
      <alignment horizontal="center" vertical="center" wrapText="1" shrinkToFit="1" readingOrder="1"/>
    </xf>
    <xf numFmtId="0" fontId="63" fillId="23" borderId="62" xfId="0" applyFont="1" applyFill="1" applyBorder="1" applyAlignment="1">
      <alignment horizontal="right" vertical="center" wrapText="1" shrinkToFit="1" readingOrder="1"/>
    </xf>
    <xf numFmtId="4" fontId="70" fillId="26" borderId="0" xfId="0" applyNumberFormat="1" applyFont="1" applyFill="1" applyAlignment="1">
      <alignment horizontal="right" vertical="center" wrapText="1" shrinkToFit="1" readingOrder="1"/>
    </xf>
    <xf numFmtId="4" fontId="70" fillId="0" borderId="0" xfId="0" applyNumberFormat="1" applyFont="1" applyAlignment="1">
      <alignment horizontal="right" vertical="center" wrapText="1" shrinkToFit="1" readingOrder="1"/>
    </xf>
    <xf numFmtId="49" fontId="66" fillId="26" borderId="0" xfId="0" applyNumberFormat="1" applyFont="1" applyFill="1" applyAlignment="1">
      <alignment horizontal="left" vertical="center" wrapText="1" shrinkToFit="1" readingOrder="1"/>
    </xf>
    <xf numFmtId="49" fontId="66" fillId="0" borderId="0" xfId="0" applyNumberFormat="1" applyFont="1" applyAlignment="1">
      <alignment horizontal="left" vertical="center" wrapText="1" shrinkToFit="1" readingOrder="1"/>
    </xf>
  </cellXfs>
  <cellStyles count="15">
    <cellStyle name="Moeda" xfId="14" builtinId="4"/>
    <cellStyle name="Moeda 2" xfId="4" xr:uid="{00000000-0005-0000-0000-000000000000}"/>
    <cellStyle name="Normal" xfId="0" builtinId="0"/>
    <cellStyle name="Normal 2" xfId="3" xr:uid="{00000000-0005-0000-0000-000002000000}"/>
    <cellStyle name="Normal 2 2" xfId="12" xr:uid="{00000000-0005-0000-0000-000003000000}"/>
    <cellStyle name="Normal 3" xfId="6" xr:uid="{00000000-0005-0000-0000-000004000000}"/>
    <cellStyle name="Normal 3 2" xfId="7" xr:uid="{00000000-0005-0000-0000-000005000000}"/>
    <cellStyle name="Normal 3 2 2" xfId="11" xr:uid="{00000000-0005-0000-0000-000006000000}"/>
    <cellStyle name="Porcentagem" xfId="1" builtinId="5"/>
    <cellStyle name="Porcentagem 2" xfId="10" xr:uid="{00000000-0005-0000-0000-000008000000}"/>
    <cellStyle name="Separador de milhares 2" xfId="13" xr:uid="{00000000-0005-0000-0000-000009000000}"/>
    <cellStyle name="Vírgula" xfId="2" builtinId="3"/>
    <cellStyle name="Vírgula 2" xfId="5" xr:uid="{00000000-0005-0000-0000-00000B000000}"/>
    <cellStyle name="Vírgula 2 2" xfId="9" xr:uid="{00000000-0005-0000-0000-00000C000000}"/>
    <cellStyle name="Vírgula 4" xfId="8" xr:uid="{00000000-0005-0000-0000-00000D000000}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2A5664"/>
      <color rgb="FFE6FB7D"/>
      <color rgb="FFD1E3F3"/>
      <color rgb="FF5E9AA6"/>
      <color rgb="FFDEEBF6"/>
      <color rgb="FFE4F0F0"/>
      <color rgb="FF006871"/>
      <color rgb="FF5E9AC4"/>
      <color rgb="FFFFFADE"/>
      <color rgb="FFFFF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cau-br.implanta.net.br/siscont/despesa/demonstrativoempenhopagamento.aspx?cc=1#SiteMapPath1_SkipLink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3" name="Imagem 2" descr="Pular Links de Navegaçã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8A0C23-A1EB-4418-84F8-F8FE330D8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41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52917</xdr:colOff>
      <xdr:row>16</xdr:row>
      <xdr:rowOff>10583</xdr:rowOff>
    </xdr:from>
    <xdr:to>
      <xdr:col>16</xdr:col>
      <xdr:colOff>152074</xdr:colOff>
      <xdr:row>21</xdr:row>
      <xdr:rowOff>76199</xdr:rowOff>
    </xdr:to>
    <xdr:pic>
      <xdr:nvPicPr>
        <xdr:cNvPr id="2" name="Picture1">
          <a:extLst>
            <a:ext uri="{FF2B5EF4-FFF2-40B4-BE49-F238E27FC236}">
              <a16:creationId xmlns:a16="http://schemas.microsoft.com/office/drawing/2014/main" id="{43BEE772-E9C7-A343-A633-AF1A35EB5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4417" y="10583"/>
          <a:ext cx="2641600" cy="1134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A36CEE58-6508-7A44-A730-B0CB2AE00B2E}"/>
            </a:ext>
          </a:extLst>
        </xdr:cNvPr>
        <xdr:cNvSpPr>
          <a:spLocks noChangeArrowheads="1"/>
        </xdr:cNvSpPr>
      </xdr:nvSpPr>
      <xdr:spPr bwMode="auto">
        <a:xfrm>
          <a:off x="0" y="1104900"/>
          <a:ext cx="11811000" cy="76200"/>
        </a:xfrm>
        <a:prstGeom prst="rect">
          <a:avLst/>
        </a:prstGeom>
        <a:noFill/>
        <a:ln w="3047" algn="in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F7374D16-EAEF-9E4C-B44F-F451A3A16CD9}"/>
            </a:ext>
          </a:extLst>
        </xdr:cNvPr>
        <xdr:cNvSpPr>
          <a:spLocks noChangeArrowheads="1"/>
        </xdr:cNvSpPr>
      </xdr:nvSpPr>
      <xdr:spPr bwMode="auto">
        <a:xfrm>
          <a:off x="0" y="2133600"/>
          <a:ext cx="11811000" cy="63500"/>
        </a:xfrm>
        <a:prstGeom prst="rect">
          <a:avLst/>
        </a:prstGeom>
        <a:noFill/>
        <a:ln w="3047" algn="in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342900</xdr:colOff>
      <xdr:row>137</xdr:row>
      <xdr:rowOff>165100</xdr:rowOff>
    </xdr:to>
    <xdr:pic>
      <xdr:nvPicPr>
        <xdr:cNvPr id="5" name="Picture2">
          <a:extLst>
            <a:ext uri="{FF2B5EF4-FFF2-40B4-BE49-F238E27FC236}">
              <a16:creationId xmlns:a16="http://schemas.microsoft.com/office/drawing/2014/main" id="{C40926F8-7ABB-DB46-9078-5DA6415CB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0300" y="292735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342900</xdr:colOff>
      <xdr:row>139</xdr:row>
      <xdr:rowOff>152400</xdr:rowOff>
    </xdr:to>
    <xdr:pic>
      <xdr:nvPicPr>
        <xdr:cNvPr id="6" name="Picture3">
          <a:extLst>
            <a:ext uri="{FF2B5EF4-FFF2-40B4-BE49-F238E27FC236}">
              <a16:creationId xmlns:a16="http://schemas.microsoft.com/office/drawing/2014/main" id="{7E46CE3C-A00F-6741-9FAF-3486E39B9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4100" y="29527500"/>
          <a:ext cx="342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0</xdr:row>
      <xdr:rowOff>0</xdr:rowOff>
    </xdr:from>
    <xdr:ext cx="1917700" cy="1028700"/>
    <xdr:pic>
      <xdr:nvPicPr>
        <xdr:cNvPr id="2" name="Picture1">
          <a:extLst>
            <a:ext uri="{FF2B5EF4-FFF2-40B4-BE49-F238E27FC236}">
              <a16:creationId xmlns:a16="http://schemas.microsoft.com/office/drawing/2014/main" id="{286F8FEF-46A1-2941-916B-1B05DC1E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0"/>
          <a:ext cx="19177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7</xdr:row>
      <xdr:rowOff>0</xdr:rowOff>
    </xdr:from>
    <xdr:to>
      <xdr:col>21</xdr:col>
      <xdr:colOff>0</xdr:colOff>
      <xdr:row>8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93B383A-1F63-614D-908C-FC44F1BFF82C}"/>
            </a:ext>
          </a:extLst>
        </xdr:cNvPr>
        <xdr:cNvSpPr>
          <a:spLocks noChangeArrowheads="1"/>
        </xdr:cNvSpPr>
      </xdr:nvSpPr>
      <xdr:spPr bwMode="auto">
        <a:xfrm>
          <a:off x="0" y="1333500"/>
          <a:ext cx="17335500" cy="190500"/>
        </a:xfrm>
        <a:prstGeom prst="rect">
          <a:avLst/>
        </a:prstGeom>
        <a:noFill/>
        <a:ln w="3047" algn="in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21</xdr:col>
      <xdr:colOff>0</xdr:colOff>
      <xdr:row>18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A750470-096E-3746-B4FD-5278A695A17D}"/>
            </a:ext>
          </a:extLst>
        </xdr:cNvPr>
        <xdr:cNvSpPr>
          <a:spLocks noChangeArrowheads="1"/>
        </xdr:cNvSpPr>
      </xdr:nvSpPr>
      <xdr:spPr bwMode="auto">
        <a:xfrm>
          <a:off x="0" y="3238500"/>
          <a:ext cx="17335500" cy="190500"/>
        </a:xfrm>
        <a:prstGeom prst="rect">
          <a:avLst/>
        </a:prstGeom>
        <a:noFill/>
        <a:ln w="3047" algn="in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gomo/Desktop/Reprograma&#231;&#227;o%202020/Tabelas%20Diretrizes%20-%20Reprog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172.16.0.103\fs-caubr\Users\patriciagomo\Desktop\Tabelas%20Diretrizes%20-%20Reprog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SSESSORIA%20DE%20PLANEJAMENTO%20E%20GESTAO%20DA%20ESTRATEGIA\2021\Reprograma&#231;&#227;o%202021\CAU%20UF\CAU-SE\Vers&#227;o%20Final\Plano%20de%20A&#231;&#227;o%20Reprograma&#231;&#227;o%20Ordin&#225;ria%202021%20-%20FINAL_VALIDADO_23.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SSESSORIA%20DE%20PLANEJAMENTO%20E%20GESTAO%20DA%20ESTRATEGIA\2021\Reprograma&#231;&#227;o%202021\Parecer\Ordin&#225;ria\Vers&#227;o%20Final\Parecer%20da%20Reprograma&#231;&#227;o%202021%20CAU-S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T%20PRESTA&#199;&#195;O%20DE%20CONTAS\2021\CAU%20UF\CAU-SE\OR&#199;AMENTA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"/>
      <sheetName val="Validação de d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XFB1">
            <v>0.05</v>
          </cell>
        </row>
        <row r="2">
          <cell r="XFB2">
            <v>0.1</v>
          </cell>
        </row>
        <row r="3">
          <cell r="XFB3">
            <v>0.15</v>
          </cell>
        </row>
        <row r="4">
          <cell r="XFB4">
            <v>0.2</v>
          </cell>
        </row>
        <row r="5">
          <cell r="XFB5">
            <v>0.25</v>
          </cell>
        </row>
        <row r="6">
          <cell r="XFB6">
            <v>0.3</v>
          </cell>
        </row>
        <row r="7">
          <cell r="XFB7">
            <v>0.35</v>
          </cell>
        </row>
        <row r="8">
          <cell r="XFB8">
            <v>0.4</v>
          </cell>
        </row>
        <row r="9">
          <cell r="XFB9">
            <v>0.45</v>
          </cell>
        </row>
        <row r="10">
          <cell r="XFB10">
            <v>0.5</v>
          </cell>
        </row>
        <row r="11">
          <cell r="XFB11">
            <v>0.55000000000000004</v>
          </cell>
        </row>
        <row r="12">
          <cell r="XFB12">
            <v>0.6</v>
          </cell>
        </row>
        <row r="13">
          <cell r="XFB13">
            <v>0.65</v>
          </cell>
        </row>
        <row r="14">
          <cell r="XFB14">
            <v>0.7</v>
          </cell>
        </row>
        <row r="15">
          <cell r="XFB15">
            <v>0.75</v>
          </cell>
        </row>
        <row r="16">
          <cell r="XFB16">
            <v>0.8</v>
          </cell>
        </row>
        <row r="17">
          <cell r="XFB17">
            <v>0.85</v>
          </cell>
        </row>
        <row r="18">
          <cell r="XFB18">
            <v>0.9</v>
          </cell>
        </row>
        <row r="19">
          <cell r="XFB19">
            <v>0.95</v>
          </cell>
        </row>
        <row r="20">
          <cell r="XFB20">
            <v>1</v>
          </cell>
        </row>
      </sheetData>
      <sheetData sheetId="6">
        <row r="5">
          <cell r="C5">
            <v>586</v>
          </cell>
        </row>
      </sheetData>
      <sheetData sheetId="7" refreshError="1"/>
      <sheetData sheetId="8">
        <row r="6">
          <cell r="AX6">
            <v>67439.888000000006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J2" t="str">
            <v>PJ até 2 anos com sócio AU formado até 2 anos</v>
          </cell>
          <cell r="L2" t="str">
            <v>Relatório 14</v>
          </cell>
          <cell r="M2">
            <v>0</v>
          </cell>
          <cell r="N2">
            <v>0</v>
          </cell>
          <cell r="O2">
            <v>0</v>
          </cell>
        </row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L4" t="str">
            <v>Situação de Registro Ativo</v>
          </cell>
          <cell r="M4" t="str">
            <v>Inativos</v>
          </cell>
          <cell r="N4" t="str">
            <v>Pagantes</v>
          </cell>
          <cell r="O4" t="str">
            <v>0/1</v>
          </cell>
        </row>
        <row r="5">
          <cell r="N5">
            <v>32</v>
          </cell>
          <cell r="O5">
            <v>7</v>
          </cell>
        </row>
        <row r="6">
          <cell r="N6">
            <v>63</v>
          </cell>
          <cell r="O6">
            <v>12</v>
          </cell>
        </row>
        <row r="7">
          <cell r="N7">
            <v>37</v>
          </cell>
          <cell r="O7">
            <v>10</v>
          </cell>
        </row>
        <row r="8">
          <cell r="N8">
            <v>89</v>
          </cell>
          <cell r="O8">
            <v>12</v>
          </cell>
        </row>
        <row r="9">
          <cell r="N9">
            <v>56</v>
          </cell>
          <cell r="O9">
            <v>13</v>
          </cell>
        </row>
        <row r="10">
          <cell r="N10">
            <v>14</v>
          </cell>
          <cell r="O10">
            <v>0</v>
          </cell>
        </row>
        <row r="11">
          <cell r="N11">
            <v>41</v>
          </cell>
          <cell r="O11">
            <v>5</v>
          </cell>
        </row>
        <row r="12">
          <cell r="N12">
            <v>332</v>
          </cell>
          <cell r="O12">
            <v>59</v>
          </cell>
        </row>
        <row r="13">
          <cell r="N13">
            <v>41</v>
          </cell>
          <cell r="O13">
            <v>5</v>
          </cell>
        </row>
        <row r="14">
          <cell r="N14">
            <v>283</v>
          </cell>
          <cell r="O14">
            <v>28</v>
          </cell>
        </row>
        <row r="15">
          <cell r="N15">
            <v>139</v>
          </cell>
          <cell r="O15">
            <v>7</v>
          </cell>
        </row>
        <row r="16">
          <cell r="N16">
            <v>49</v>
          </cell>
          <cell r="O16">
            <v>5</v>
          </cell>
        </row>
        <row r="17">
          <cell r="N17">
            <v>87</v>
          </cell>
          <cell r="O17">
            <v>11</v>
          </cell>
        </row>
        <row r="18">
          <cell r="N18">
            <v>205</v>
          </cell>
          <cell r="O18">
            <v>19</v>
          </cell>
        </row>
        <row r="19">
          <cell r="N19">
            <v>70</v>
          </cell>
          <cell r="O19">
            <v>13</v>
          </cell>
        </row>
        <row r="20">
          <cell r="N20">
            <v>72</v>
          </cell>
          <cell r="O20">
            <v>6</v>
          </cell>
        </row>
        <row r="21">
          <cell r="N21">
            <v>57</v>
          </cell>
          <cell r="O21">
            <v>6</v>
          </cell>
        </row>
        <row r="22">
          <cell r="N22">
            <v>1003</v>
          </cell>
          <cell r="O22">
            <v>100</v>
          </cell>
        </row>
        <row r="23">
          <cell r="N23">
            <v>222</v>
          </cell>
          <cell r="O23">
            <v>27</v>
          </cell>
        </row>
        <row r="24">
          <cell r="N24">
            <v>212</v>
          </cell>
          <cell r="O24">
            <v>47</v>
          </cell>
        </row>
        <row r="25">
          <cell r="N25">
            <v>182</v>
          </cell>
          <cell r="O25">
            <v>26</v>
          </cell>
        </row>
        <row r="26">
          <cell r="N26">
            <v>172</v>
          </cell>
          <cell r="O26">
            <v>22</v>
          </cell>
        </row>
        <row r="27">
          <cell r="N27">
            <v>788</v>
          </cell>
          <cell r="O27">
            <v>122</v>
          </cell>
        </row>
        <row r="28">
          <cell r="N28">
            <v>225</v>
          </cell>
          <cell r="O28">
            <v>13</v>
          </cell>
        </row>
        <row r="29">
          <cell r="N29">
            <v>738</v>
          </cell>
          <cell r="O29">
            <v>69</v>
          </cell>
        </row>
        <row r="30">
          <cell r="N30">
            <v>1078</v>
          </cell>
          <cell r="O30">
            <v>82</v>
          </cell>
        </row>
        <row r="31">
          <cell r="N31">
            <v>3458</v>
          </cell>
          <cell r="O31">
            <v>154</v>
          </cell>
        </row>
        <row r="32">
          <cell r="N32">
            <v>5499</v>
          </cell>
          <cell r="O32">
            <v>318</v>
          </cell>
        </row>
        <row r="33">
          <cell r="N33">
            <v>1058</v>
          </cell>
          <cell r="O33">
            <v>125</v>
          </cell>
        </row>
        <row r="34">
          <cell r="N34">
            <v>949</v>
          </cell>
          <cell r="O34">
            <v>87</v>
          </cell>
        </row>
        <row r="35">
          <cell r="N35">
            <v>649</v>
          </cell>
          <cell r="O35">
            <v>70</v>
          </cell>
        </row>
        <row r="36">
          <cell r="N36">
            <v>2656</v>
          </cell>
          <cell r="O36">
            <v>282</v>
          </cell>
        </row>
        <row r="37">
          <cell r="N37">
            <v>10278</v>
          </cell>
          <cell r="O37">
            <v>881</v>
          </cell>
        </row>
      </sheetData>
      <sheetData sheetId="15" refreshError="1"/>
      <sheetData sheetId="16" refreshError="1"/>
      <sheetData sheetId="17" refreshError="1"/>
      <sheetData sheetId="18">
        <row r="3">
          <cell r="A3" t="str">
            <v>SP</v>
          </cell>
        </row>
      </sheetData>
      <sheetData sheetId="19">
        <row r="30">
          <cell r="A30" t="str">
            <v>RR</v>
          </cell>
        </row>
      </sheetData>
      <sheetData sheetId="20">
        <row r="3">
          <cell r="D3">
            <v>2726.8547648527197</v>
          </cell>
        </row>
      </sheetData>
      <sheetData sheetId="21" refreshError="1"/>
      <sheetData sheetId="22" refreshError="1"/>
      <sheetData sheetId="23">
        <row r="2">
          <cell r="A2" t="str">
            <v>AC</v>
          </cell>
        </row>
      </sheetData>
      <sheetData sheetId="24">
        <row r="10">
          <cell r="A10" t="str">
            <v>RR</v>
          </cell>
        </row>
      </sheetData>
      <sheetData sheetId="25">
        <row r="3">
          <cell r="A3" t="str">
            <v>AC</v>
          </cell>
        </row>
      </sheetData>
      <sheetData sheetId="26" refreshError="1"/>
      <sheetData sheetId="27" refreshError="1"/>
      <sheetData sheetId="28" refreshError="1"/>
      <sheetData sheetId="29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os - Receita"/>
      <sheetName val="Estudos - Quant. PJ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(2)"/>
      <sheetName val="Orientações Iniciais"/>
      <sheetName val="Mapa Estratégico e ODS "/>
      <sheetName val="Indicadores e Metas"/>
      <sheetName val="Quadro Geral"/>
      <sheetName val="Anexo 1. Fontes e Aplicações"/>
      <sheetName val="Anexo 2. Limites Estratégicos"/>
      <sheetName val="Anexo 3. Elemento de Despesas"/>
      <sheetName val="SISCONT. até 31.05.21"/>
      <sheetName val="Anexo 4.Quadro Descritivo."/>
      <sheetName val="Resumo"/>
      <sheetName val="AÇÕES ESTRATÉGICAS - DESCRIÇÃO"/>
    </sheetNames>
    <sheetDataSet>
      <sheetData sheetId="0"/>
      <sheetData sheetId="1"/>
      <sheetData sheetId="2"/>
      <sheetData sheetId="3">
        <row r="7">
          <cell r="F7">
            <v>0.2</v>
          </cell>
        </row>
        <row r="12">
          <cell r="F12">
            <v>1</v>
          </cell>
        </row>
        <row r="14">
          <cell r="F14">
            <v>0.6</v>
          </cell>
        </row>
        <row r="16">
          <cell r="F16">
            <v>0.36</v>
          </cell>
        </row>
        <row r="18">
          <cell r="F18">
            <v>1</v>
          </cell>
        </row>
        <row r="20">
          <cell r="F20">
            <v>0.7</v>
          </cell>
        </row>
        <row r="22">
          <cell r="F22">
            <v>0.5</v>
          </cell>
        </row>
        <row r="24">
          <cell r="F24">
            <v>0.2</v>
          </cell>
        </row>
        <row r="26">
          <cell r="F26">
            <v>0.9</v>
          </cell>
        </row>
        <row r="28">
          <cell r="F28">
            <v>0.2</v>
          </cell>
        </row>
        <row r="30">
          <cell r="F30">
            <v>0.9</v>
          </cell>
        </row>
        <row r="33">
          <cell r="F33">
            <v>0.8</v>
          </cell>
        </row>
        <row r="35">
          <cell r="F35">
            <v>0.8</v>
          </cell>
        </row>
        <row r="37">
          <cell r="F37">
            <v>0.3</v>
          </cell>
        </row>
        <row r="40">
          <cell r="F40">
            <v>0</v>
          </cell>
        </row>
        <row r="42">
          <cell r="F42">
            <v>0.8</v>
          </cell>
        </row>
        <row r="44">
          <cell r="F44">
            <v>50</v>
          </cell>
        </row>
        <row r="46">
          <cell r="F46">
            <v>1</v>
          </cell>
        </row>
        <row r="49">
          <cell r="F49">
            <v>1</v>
          </cell>
        </row>
        <row r="51">
          <cell r="F51">
            <v>0</v>
          </cell>
        </row>
        <row r="53">
          <cell r="F53">
            <v>0.02</v>
          </cell>
        </row>
        <row r="56">
          <cell r="F56">
            <v>30000</v>
          </cell>
        </row>
        <row r="57">
          <cell r="F57">
            <v>0.25</v>
          </cell>
        </row>
        <row r="59">
          <cell r="F59">
            <v>0.9</v>
          </cell>
        </row>
        <row r="61">
          <cell r="F61">
            <v>20000</v>
          </cell>
        </row>
        <row r="63">
          <cell r="F63">
            <v>0.5</v>
          </cell>
        </row>
        <row r="65">
          <cell r="F65">
            <v>0.25</v>
          </cell>
        </row>
        <row r="67">
          <cell r="F67">
            <v>0.75</v>
          </cell>
        </row>
        <row r="70">
          <cell r="F70">
            <v>2.8829318360200444</v>
          </cell>
        </row>
        <row r="72">
          <cell r="F72">
            <v>0.05</v>
          </cell>
        </row>
        <row r="74">
          <cell r="F74">
            <v>8.9753178758414359E-3</v>
          </cell>
        </row>
        <row r="77">
          <cell r="F77">
            <v>804.22102382485514</v>
          </cell>
        </row>
        <row r="83">
          <cell r="F83">
            <v>0.29499999999999998</v>
          </cell>
        </row>
        <row r="85">
          <cell r="F85">
            <v>0.40600000000000003</v>
          </cell>
        </row>
        <row r="88">
          <cell r="F88">
            <v>0.5</v>
          </cell>
        </row>
        <row r="90">
          <cell r="F90" t="str">
            <v>-</v>
          </cell>
        </row>
        <row r="92">
          <cell r="F92" t="str">
            <v>-</v>
          </cell>
        </row>
        <row r="95">
          <cell r="F95">
            <v>10</v>
          </cell>
        </row>
        <row r="98">
          <cell r="F98" t="str">
            <v>-</v>
          </cell>
        </row>
        <row r="99">
          <cell r="F99">
            <v>0.8</v>
          </cell>
        </row>
        <row r="102">
          <cell r="F102">
            <v>0.7</v>
          </cell>
        </row>
        <row r="104">
          <cell r="F104">
            <v>0.2</v>
          </cell>
        </row>
      </sheetData>
      <sheetData sheetId="4">
        <row r="9">
          <cell r="A9" t="str">
            <v xml:space="preserve">Diretora Administrativa e Financeira </v>
          </cell>
          <cell r="B9" t="str">
            <v>A</v>
          </cell>
          <cell r="E9" t="str">
            <v>Fiscalização CAU/SE</v>
          </cell>
          <cell r="G9" t="str">
            <v>Tornar a fiscalização um vetor de melhoria do exercício da Arquitetura e Urbanismo</v>
          </cell>
          <cell r="I9" t="str">
            <v>Manutenção do setor de Fiscalização do CAU/SE, garantindo atuação estratégica, com eficácia e eficiência.</v>
          </cell>
          <cell r="M9">
            <v>396647.18999999994</v>
          </cell>
        </row>
        <row r="10">
          <cell r="A10" t="str">
            <v xml:space="preserve">Diretora Administrativa e Financeira </v>
          </cell>
          <cell r="B10" t="str">
            <v>A</v>
          </cell>
          <cell r="E10" t="str">
            <v>Gestão Administrativa e Financeira</v>
          </cell>
          <cell r="G10" t="str">
            <v>Aprimorar e inovar os processos e as ações</v>
          </cell>
          <cell r="I10" t="str">
            <v>Manutenção da infraestrutura e pleno funcionamento do Conselho, gestão e aprimoramento de processos e ações do CAU SE</v>
          </cell>
          <cell r="M10">
            <v>388912.81999999995</v>
          </cell>
        </row>
        <row r="11">
          <cell r="A11" t="str">
            <v xml:space="preserve">Presidência </v>
          </cell>
          <cell r="B11" t="str">
            <v>A</v>
          </cell>
          <cell r="E11" t="str">
            <v>Comunicação CAU/SE</v>
          </cell>
          <cell r="G11" t="str">
            <v>Assegurar a eficácia no relacionamento e comunicação com a sociedade</v>
          </cell>
          <cell r="I11" t="str">
            <v>Promoção, divulgação e transparência das ações do Conselho, tornando a comunicação do CAU eficiente com o público alvo.</v>
          </cell>
          <cell r="M11">
            <v>94613</v>
          </cell>
        </row>
        <row r="12">
          <cell r="A12" t="str">
            <v xml:space="preserve">Diretora Administrativa e Financeira </v>
          </cell>
          <cell r="B12" t="str">
            <v>A</v>
          </cell>
          <cell r="E12" t="str">
            <v>Atendimento e Relações Profissionais</v>
          </cell>
          <cell r="G12" t="str">
            <v>Assegurar a eficácia no atendimento e no relacionamento com os Arquitetos e Urbanistas e a Sociedade</v>
          </cell>
          <cell r="I12" t="str">
            <v>Disponibilidade de 1 técnico de atendimento na sede do CAU nos dias úteis; atendimento de 90% das demandas de profissionais em até 30 dias</v>
          </cell>
          <cell r="M12">
            <v>159487.04000000001</v>
          </cell>
        </row>
        <row r="13">
          <cell r="A13" t="str">
            <v xml:space="preserve">Presidência </v>
          </cell>
          <cell r="B13" t="str">
            <v>A</v>
          </cell>
          <cell r="E13" t="str">
            <v>Manutenção da Presidência</v>
          </cell>
          <cell r="G13" t="str">
            <v>Estimular a produção da Arquitetura e Urbanismo como política de Estado</v>
          </cell>
          <cell r="I13" t="str">
            <v>Gestão eficiente dos recursos humanos, materiais e financeiros, valorizando, fortalecendo e intensificando as ações do CAU junto aos profissionais, ao poder público e a sociedade sergipana.</v>
          </cell>
          <cell r="M13">
            <v>11380</v>
          </cell>
        </row>
        <row r="14">
          <cell r="A14" t="str">
            <v xml:space="preserve">Diretora Administrativa e Financeira </v>
          </cell>
          <cell r="B14" t="str">
            <v>A</v>
          </cell>
          <cell r="E14" t="str">
            <v>Serviços Compartilhados para a Fiscalização - CSC</v>
          </cell>
          <cell r="G14" t="str">
            <v>Tornar a fiscalização um vetor de melhoria do exercício da Arquitetura e Urbanismo</v>
          </cell>
          <cell r="I14" t="str">
            <v>Registro de 100% das atividades e ações desenvolvidas, com disponibilidade imediata e confiabilidade das informações</v>
          </cell>
          <cell r="M14">
            <v>69884.490000000005</v>
          </cell>
        </row>
        <row r="15">
          <cell r="A15" t="str">
            <v xml:space="preserve">Diretora Administrativa e Financeira </v>
          </cell>
          <cell r="B15" t="str">
            <v>A</v>
          </cell>
          <cell r="E15" t="str">
            <v>Serviços Compartilhados para o Atendimento - CSC</v>
          </cell>
          <cell r="G15" t="str">
            <v>Assegurar a eficácia no atendimento e no relacionamento com os Arquitetos e Urbanistas e a Sociedade</v>
          </cell>
          <cell r="I15" t="str">
            <v>Disponibilidade de sistemas de gestão e interlocução com profissionais e sociedade em geral, bem como com o CAU BR e demais unidades federativas</v>
          </cell>
          <cell r="M15">
            <v>10199.719999999999</v>
          </cell>
        </row>
        <row r="16">
          <cell r="A16" t="str">
            <v xml:space="preserve">Diretora Administrativa e Financeira </v>
          </cell>
          <cell r="B16" t="str">
            <v>A</v>
          </cell>
          <cell r="E16" t="str">
            <v>Centro de Serviços Compartilhados - SISCAF</v>
          </cell>
          <cell r="G16" t="str">
            <v>Assegurar a sustentabilidade financeira</v>
          </cell>
          <cell r="I16" t="str">
            <v xml:space="preserve">Registro e controle de 100% das cobranças e inadimplência de anuidades e outro débitos de pessoas físicas e jurídicas junto ao Conselho. </v>
          </cell>
          <cell r="M16">
            <v>7745.33</v>
          </cell>
        </row>
        <row r="17">
          <cell r="A17" t="str">
            <v xml:space="preserve">Diretora Administrativa e Financeira </v>
          </cell>
          <cell r="B17" t="str">
            <v>A</v>
          </cell>
          <cell r="E17" t="str">
            <v>Aporte Fundo de Apoio</v>
          </cell>
          <cell r="G17" t="str">
            <v>Assegurar a sustentabilidade financeira</v>
          </cell>
          <cell r="I17" t="str">
            <v>Contribuição ao fundo de apoio destinado ao suporte para manutenção de uma unidade do conselho em cada unidade federativa do país.</v>
          </cell>
          <cell r="M17">
            <v>22540.66</v>
          </cell>
        </row>
        <row r="18">
          <cell r="A18" t="str">
            <v xml:space="preserve">Presidência </v>
          </cell>
          <cell r="B18" t="str">
            <v>A</v>
          </cell>
          <cell r="E18" t="str">
            <v>Reuniões Plenárias Ampliadas</v>
          </cell>
          <cell r="G18" t="str">
            <v>Aprimorar e inovar os processos e as ações</v>
          </cell>
          <cell r="I18" t="str">
            <v>Participação do Presidente em 04 reuniões plenárias ampliadas no CAU BR em 2021</v>
          </cell>
          <cell r="M18">
            <v>10440</v>
          </cell>
        </row>
        <row r="19">
          <cell r="A19" t="str">
            <v xml:space="preserve">Presidência </v>
          </cell>
          <cell r="B19" t="str">
            <v>A</v>
          </cell>
          <cell r="E19" t="str">
            <v>Comissões Permanentes</v>
          </cell>
          <cell r="G19" t="str">
            <v>Promover o exercício ético e qualificado da profissão</v>
          </cell>
          <cell r="I19" t="str">
            <v xml:space="preserve">Estimulo a inserção e promoção  de disciplinas de ética junto as novas instituições de ensino de arquitetura, bem como o desenvolvimento de ações que  fortaleçam  o relacionamento com Instituições com missão singular a do Conselho, e ainda a analise célere de processos éticos </v>
          </cell>
          <cell r="M19">
            <v>27175</v>
          </cell>
        </row>
        <row r="20">
          <cell r="A20" t="str">
            <v xml:space="preserve">Presidência </v>
          </cell>
          <cell r="E20" t="str">
            <v xml:space="preserve">Patrocínio de Ações e Interinstitucionais </v>
          </cell>
          <cell r="G20" t="str">
            <v>Estimular o conhecimento, o uso de processos criativos e a difusão das melhores práticas em Arquitetura e Urbanismo</v>
          </cell>
          <cell r="I20" t="str">
            <v>Apoiar a uma ou mais ações de instituições parceiras em 2021, fortalecendo o relacionamento interinstitucional</v>
          </cell>
          <cell r="M20">
            <v>0</v>
          </cell>
        </row>
        <row r="21">
          <cell r="A21" t="str">
            <v xml:space="preserve">Presidência </v>
          </cell>
          <cell r="B21" t="str">
            <v>A</v>
          </cell>
          <cell r="E21" t="str">
            <v>Reserva de Contingência</v>
          </cell>
          <cell r="G21" t="str">
            <v>Assegurar a sustentabilidade financeira</v>
          </cell>
          <cell r="I21" t="str">
            <v>Disponibilidade de recursos para eventuais ações estratégicas e/ou operacionais não prevista quando da elaboração do planejamento</v>
          </cell>
          <cell r="M21">
            <v>5000</v>
          </cell>
        </row>
        <row r="22">
          <cell r="A22" t="str">
            <v xml:space="preserve">Presidência </v>
          </cell>
          <cell r="B22" t="str">
            <v>P</v>
          </cell>
          <cell r="E22" t="str">
            <v>Capacitação e Desenvolvimento Humano</v>
          </cell>
          <cell r="G22" t="str">
            <v>Desenvolver competências de dirigentes e colaboradores</v>
          </cell>
          <cell r="I22" t="str">
            <v>Participação de funcionários e gestores em eventos e capacitações que favoreçam aquisição de conhecimentos, visando aprimorar e desenvolver processos e ações mais eficazes para o Conselho</v>
          </cell>
          <cell r="M22">
            <v>19250</v>
          </cell>
        </row>
        <row r="23">
          <cell r="A23" t="str">
            <v xml:space="preserve">Presidência </v>
          </cell>
          <cell r="B23" t="str">
            <v>P</v>
          </cell>
          <cell r="E23" t="str">
            <v>Projeto ATHIS Sergipe</v>
          </cell>
          <cell r="G23" t="str">
            <v>Fomentar o acesso da sociedade à Arquitetura e Urbanismo</v>
          </cell>
          <cell r="I23" t="str">
            <v>Proporcionar cursos de formação para profissionais Arquitetos e Urbanistas em ATHIS, bem como, incentivar a produção de ATHIS junto às Universidades e viabilizar projetos de intervenção em Habitações de Interesse Social, conforme projeto aprovado pela Deliberação Plenária nº 09/2021</v>
          </cell>
          <cell r="M23">
            <v>25680</v>
          </cell>
        </row>
        <row r="24">
          <cell r="A24" t="str">
            <v xml:space="preserve">Presidência </v>
          </cell>
          <cell r="B24" t="str">
            <v>PE</v>
          </cell>
          <cell r="E24" t="str">
            <v>Projeto ATHIS Sergipe (Complementação)</v>
          </cell>
          <cell r="G24" t="str">
            <v>Fomentar o acesso da sociedade à Arquitetura e Urbanismo</v>
          </cell>
          <cell r="I24" t="str">
            <v>Promover atendimento qualificado aos profissionais, bem como, a toda a Sociedade.</v>
          </cell>
          <cell r="M24">
            <v>47820</v>
          </cell>
        </row>
        <row r="25">
          <cell r="A25" t="str">
            <v xml:space="preserve">Presidência </v>
          </cell>
          <cell r="B25" t="str">
            <v>P</v>
          </cell>
          <cell r="E25" t="str">
            <v>Bens Móveis e Imóveis</v>
          </cell>
          <cell r="G25" t="str">
            <v>Ter sistemas de informação e infraestrutura que viabilizem a gestão e o atendimento dos arquitetos e urbanistas e a sociedade</v>
          </cell>
          <cell r="I25" t="str">
            <v>Aquisição de 03 aparelhos de ar-condicionado, mobiliário (06 cadeiras; 02 mesas; 02 armários), bem como, letreiro e totens de identificação visual para nova sede.</v>
          </cell>
          <cell r="M25">
            <v>34400</v>
          </cell>
        </row>
      </sheetData>
      <sheetData sheetId="5">
        <row r="11">
          <cell r="F11">
            <v>1248955.25</v>
          </cell>
        </row>
        <row r="12">
          <cell r="F12">
            <v>1041819.2599999999</v>
          </cell>
        </row>
        <row r="13">
          <cell r="F13">
            <v>474207.76999999996</v>
          </cell>
        </row>
        <row r="14">
          <cell r="F14">
            <v>431440.57999999996</v>
          </cell>
        </row>
        <row r="15">
          <cell r="F15">
            <v>340847.92</v>
          </cell>
        </row>
        <row r="16">
          <cell r="F16">
            <v>90592.66</v>
          </cell>
        </row>
        <row r="17">
          <cell r="F17">
            <v>42767.19</v>
          </cell>
        </row>
        <row r="18">
          <cell r="F18">
            <v>30126.93</v>
          </cell>
        </row>
        <row r="19">
          <cell r="F19">
            <v>12640.26</v>
          </cell>
        </row>
        <row r="20">
          <cell r="F20">
            <v>523836.6</v>
          </cell>
        </row>
        <row r="21">
          <cell r="F21">
            <v>43774.89</v>
          </cell>
        </row>
        <row r="22">
          <cell r="F22">
            <v>6000</v>
          </cell>
        </row>
        <row r="23">
          <cell r="F23">
            <v>4116.6399999999994</v>
          </cell>
        </row>
        <row r="24">
          <cell r="F24">
            <v>197019.35</v>
          </cell>
        </row>
        <row r="25">
          <cell r="F25">
            <v>82220</v>
          </cell>
        </row>
        <row r="26">
          <cell r="F26">
            <v>82220</v>
          </cell>
        </row>
        <row r="27">
          <cell r="F27">
            <v>0</v>
          </cell>
        </row>
        <row r="28">
          <cell r="F28">
            <v>1331175.25</v>
          </cell>
        </row>
      </sheetData>
      <sheetData sheetId="6">
        <row r="5">
          <cell r="E5">
            <v>1041819.2599999999</v>
          </cell>
          <cell r="N5">
            <v>640557</v>
          </cell>
        </row>
        <row r="6">
          <cell r="E6">
            <v>197019.35</v>
          </cell>
          <cell r="N6">
            <v>38640</v>
          </cell>
        </row>
        <row r="7">
          <cell r="E7">
            <v>1238838.6099999999</v>
          </cell>
          <cell r="N7">
            <v>1248955.25</v>
          </cell>
        </row>
        <row r="8">
          <cell r="E8">
            <v>22540.66</v>
          </cell>
        </row>
        <row r="9">
          <cell r="E9">
            <v>1216297.95</v>
          </cell>
        </row>
        <row r="12">
          <cell r="E12">
            <v>466531.67999999993</v>
          </cell>
          <cell r="N12">
            <v>601917</v>
          </cell>
        </row>
        <row r="13">
          <cell r="E13">
            <v>0.38356693768989741</v>
          </cell>
          <cell r="N13">
            <v>0.48193640244516367</v>
          </cell>
        </row>
        <row r="14">
          <cell r="E14">
            <v>169686.76</v>
          </cell>
          <cell r="N14">
            <v>19250</v>
          </cell>
        </row>
        <row r="15">
          <cell r="E15">
            <v>0.13951084929478014</v>
          </cell>
          <cell r="N15">
            <v>3.0051970394516021E-2</v>
          </cell>
        </row>
        <row r="16">
          <cell r="E16">
            <v>94613</v>
          </cell>
        </row>
        <row r="17">
          <cell r="E17">
            <v>7.7787683519486325E-2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291474.76</v>
          </cell>
        </row>
        <row r="21">
          <cell r="E21">
            <v>0.23964092022024705</v>
          </cell>
        </row>
        <row r="22">
          <cell r="E22">
            <v>73500</v>
          </cell>
        </row>
        <row r="23">
          <cell r="E23">
            <v>6.0429272284804887E-2</v>
          </cell>
        </row>
        <row r="24">
          <cell r="E24">
            <v>5000</v>
          </cell>
        </row>
        <row r="25">
          <cell r="E25">
            <v>4.1108348493064549E-3</v>
          </cell>
        </row>
      </sheetData>
      <sheetData sheetId="7">
        <row r="23">
          <cell r="F23">
            <v>640557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erência"/>
      <sheetName val="Capa do Parecer"/>
      <sheetName val="Análise Geral"/>
      <sheetName val="Indicadores e Metas"/>
      <sheetName val="FORM.1"/>
      <sheetName val="FORM.2"/>
      <sheetName val="FORM.3"/>
      <sheetName val="FORM.4"/>
      <sheetName val="PARECER"/>
      <sheetName val="FORM.1(rascunho)"/>
      <sheetName val="Orientações Iniciais"/>
      <sheetName val="Mapa Estratégico e ODS"/>
      <sheetName val="Indicadores e Metas (2)"/>
      <sheetName val="IndicadoreseMetas"/>
      <sheetName val="FORM2"/>
      <sheetName val="Quadro Geral"/>
      <sheetName val="Quadro Geral (2)"/>
      <sheetName val="FORM1"/>
      <sheetName val="Anexo 1. Fontes e Aplicações"/>
      <sheetName val="FORM3"/>
      <sheetName val="Anexo 2. Limites Estratégicos"/>
      <sheetName val="Anexo 3. Elemento de Despesas"/>
      <sheetName val="Facultativo - Anexo 4 "/>
      <sheetName val="Resumo"/>
      <sheetName val="AÇÕES ESTRATÉGICAS - DESCRIÇÃO "/>
    </sheetNames>
    <sheetDataSet>
      <sheetData sheetId="0"/>
      <sheetData sheetId="1"/>
      <sheetData sheetId="2"/>
      <sheetData sheetId="3"/>
      <sheetData sheetId="4"/>
      <sheetData sheetId="5">
        <row r="19">
          <cell r="B19" t="str">
            <v>A.</v>
          </cell>
        </row>
        <row r="25">
          <cell r="M25">
            <v>1331175.2499999998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 Orçamentário"/>
    </sheetNames>
    <sheetDataSet>
      <sheetData sheetId="0">
        <row r="3">
          <cell r="D3">
            <v>1615571.28</v>
          </cell>
        </row>
        <row r="5">
          <cell r="D5">
            <v>600687.26</v>
          </cell>
        </row>
        <row r="9">
          <cell r="D9">
            <v>709515.51</v>
          </cell>
        </row>
        <row r="14">
          <cell r="D14">
            <v>32772.9</v>
          </cell>
        </row>
        <row r="15">
          <cell r="D15">
            <v>199146.22</v>
          </cell>
        </row>
        <row r="16">
          <cell r="D16">
            <v>8994.76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PALETA_C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612141"/>
      </a:accent1>
      <a:accent2>
        <a:srgbClr val="E31C79"/>
      </a:accent2>
      <a:accent3>
        <a:srgbClr val="00B5E2"/>
      </a:accent3>
      <a:accent4>
        <a:srgbClr val="78BE20"/>
      </a:accent4>
      <a:accent5>
        <a:srgbClr val="FFCD00"/>
      </a:accent5>
      <a:accent6>
        <a:srgbClr val="FF6900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0"/>
  <sheetViews>
    <sheetView showGridLines="0" workbookViewId="0">
      <selection activeCell="I11" sqref="I11"/>
    </sheetView>
  </sheetViews>
  <sheetFormatPr defaultColWidth="8.88671875" defaultRowHeight="14.4"/>
  <cols>
    <col min="1" max="1" width="3.6640625" style="1" customWidth="1"/>
    <col min="2" max="8" width="10.44140625" style="1" customWidth="1"/>
    <col min="9" max="9" width="21.33203125" style="1" customWidth="1"/>
    <col min="10" max="16384" width="8.88671875" style="1"/>
  </cols>
  <sheetData>
    <row r="1" spans="2:9">
      <c r="B1" s="260" t="s">
        <v>341</v>
      </c>
      <c r="C1" s="261"/>
      <c r="D1" s="261"/>
      <c r="E1" s="261"/>
      <c r="F1" s="261"/>
      <c r="G1" s="261"/>
      <c r="H1" s="261"/>
      <c r="I1" s="262"/>
    </row>
    <row r="2" spans="2:9" ht="21" customHeight="1" thickBot="1">
      <c r="B2" s="263"/>
      <c r="C2" s="264"/>
      <c r="D2" s="264"/>
      <c r="E2" s="264"/>
      <c r="F2" s="264"/>
      <c r="G2" s="264"/>
      <c r="H2" s="264"/>
      <c r="I2" s="265"/>
    </row>
    <row r="3" spans="2:9" s="168" customFormat="1" ht="45.75" customHeight="1" thickBot="1">
      <c r="B3" s="257" t="s">
        <v>342</v>
      </c>
      <c r="C3" s="258"/>
      <c r="D3" s="258"/>
      <c r="E3" s="258"/>
      <c r="F3" s="258"/>
      <c r="G3" s="258"/>
      <c r="H3" s="258"/>
      <c r="I3" s="259"/>
    </row>
    <row r="4" spans="2:9" s="168" customFormat="1" ht="45.75" customHeight="1" thickBot="1">
      <c r="B4" s="266" t="s">
        <v>343</v>
      </c>
      <c r="C4" s="267"/>
      <c r="D4" s="267"/>
      <c r="E4" s="267"/>
      <c r="F4" s="267"/>
      <c r="G4" s="267"/>
      <c r="H4" s="267"/>
      <c r="I4" s="268"/>
    </row>
    <row r="5" spans="2:9" s="168" customFormat="1" ht="86.25" customHeight="1" thickBot="1">
      <c r="B5" s="266" t="s">
        <v>368</v>
      </c>
      <c r="C5" s="267"/>
      <c r="D5" s="267"/>
      <c r="E5" s="267"/>
      <c r="F5" s="267"/>
      <c r="G5" s="267"/>
      <c r="H5" s="267"/>
      <c r="I5" s="268"/>
    </row>
    <row r="6" spans="2:9" s="168" customFormat="1" ht="45.75" customHeight="1" thickBot="1">
      <c r="B6" s="266" t="s">
        <v>344</v>
      </c>
      <c r="C6" s="267"/>
      <c r="D6" s="267"/>
      <c r="E6" s="267"/>
      <c r="F6" s="267"/>
      <c r="G6" s="267"/>
      <c r="H6" s="267"/>
      <c r="I6" s="268"/>
    </row>
    <row r="7" spans="2:9" s="168" customFormat="1" ht="45.75" customHeight="1" thickBot="1">
      <c r="B7" s="257" t="s">
        <v>378</v>
      </c>
      <c r="C7" s="258"/>
      <c r="D7" s="258"/>
      <c r="E7" s="258"/>
      <c r="F7" s="258"/>
      <c r="G7" s="258"/>
      <c r="H7" s="258"/>
      <c r="I7" s="259"/>
    </row>
    <row r="8" spans="2:9" ht="52.5" customHeight="1"/>
    <row r="9" spans="2:9" ht="20.399999999999999">
      <c r="B9" s="169"/>
    </row>
    <row r="10" spans="2:9">
      <c r="B10" s="170"/>
    </row>
  </sheetData>
  <mergeCells count="6">
    <mergeCell ref="B7:I7"/>
    <mergeCell ref="B1:I2"/>
    <mergeCell ref="B3:I3"/>
    <mergeCell ref="B4:I4"/>
    <mergeCell ref="B5:I5"/>
    <mergeCell ref="B6:I6"/>
  </mergeCells>
  <pageMargins left="0.511811024" right="0.511811024" top="0.78740157499999996" bottom="0.78740157499999996" header="0.31496062000000002" footer="0.31496062000000002"/>
  <pageSetup paperSize="28" scale="7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  <outlinePr summaryBelow="0"/>
  </sheetPr>
  <dimension ref="A2:U443"/>
  <sheetViews>
    <sheetView showGridLines="0" topLeftCell="A287" zoomScale="130" zoomScaleNormal="130" workbookViewId="0">
      <selection activeCell="P367" sqref="P367:Q367"/>
    </sheetView>
  </sheetViews>
  <sheetFormatPr defaultColWidth="10.88671875" defaultRowHeight="14.4"/>
  <cols>
    <col min="1" max="1" width="20.6640625" style="1" customWidth="1"/>
    <col min="2" max="2" width="13.33203125" style="1" customWidth="1"/>
    <col min="3" max="3" width="0.109375" style="1" customWidth="1"/>
    <col min="4" max="4" width="9.44140625" style="1" customWidth="1"/>
    <col min="5" max="5" width="3.88671875" style="1" customWidth="1"/>
    <col min="6" max="6" width="0.109375" style="1" customWidth="1"/>
    <col min="7" max="7" width="13" style="1" customWidth="1"/>
    <col min="8" max="8" width="0.109375" style="1" customWidth="1"/>
    <col min="9" max="9" width="13.33203125" style="1" customWidth="1"/>
    <col min="10" max="10" width="0.109375" style="1" customWidth="1"/>
    <col min="11" max="11" width="13.33203125" style="1" customWidth="1"/>
    <col min="12" max="12" width="0.109375" style="1" customWidth="1"/>
    <col min="13" max="13" width="13" style="1" customWidth="1"/>
    <col min="14" max="14" width="0.33203125" style="1" customWidth="1"/>
    <col min="15" max="15" width="13.44140625" style="1" customWidth="1"/>
    <col min="16" max="16" width="3.109375" style="1" customWidth="1"/>
    <col min="17" max="17" width="10.109375" style="1" customWidth="1"/>
    <col min="18" max="18" width="2.33203125" style="1" customWidth="1"/>
    <col min="19" max="19" width="11.109375" style="1" customWidth="1"/>
    <col min="20" max="20" width="13.44140625" style="1" customWidth="1"/>
    <col min="21" max="21" width="0.44140625" style="1" customWidth="1"/>
    <col min="22" max="256" width="8.88671875" style="1" customWidth="1"/>
    <col min="257" max="16384" width="10.88671875" style="1"/>
  </cols>
  <sheetData>
    <row r="2" spans="1:21" ht="22.2">
      <c r="A2" s="481" t="s">
        <v>382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</row>
    <row r="3" spans="1:21" ht="15">
      <c r="A3" s="485" t="s">
        <v>383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</row>
    <row r="5" spans="1:21">
      <c r="A5" s="485" t="s">
        <v>384</v>
      </c>
      <c r="B5" s="485"/>
      <c r="C5" s="485"/>
      <c r="D5" s="485"/>
    </row>
    <row r="6" spans="1:21">
      <c r="A6" s="485"/>
      <c r="B6" s="485"/>
      <c r="C6" s="485"/>
      <c r="D6" s="485"/>
    </row>
    <row r="8" spans="1:21">
      <c r="A8" s="486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</row>
    <row r="9" spans="1:21">
      <c r="Q9" s="482" t="s">
        <v>385</v>
      </c>
      <c r="R9" s="482"/>
      <c r="S9" s="482"/>
      <c r="T9" s="482"/>
      <c r="U9" s="482"/>
    </row>
    <row r="10" spans="1:21" ht="17.399999999999999">
      <c r="A10" s="487" t="s">
        <v>541</v>
      </c>
      <c r="B10" s="487"/>
      <c r="C10" s="487"/>
      <c r="D10" s="487"/>
      <c r="E10" s="487"/>
      <c r="F10" s="487"/>
      <c r="G10" s="487"/>
      <c r="H10" s="487"/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7"/>
      <c r="T10" s="487"/>
      <c r="U10" s="487"/>
    </row>
    <row r="11" spans="1:21">
      <c r="A11" s="479" t="s">
        <v>640</v>
      </c>
      <c r="B11" s="479"/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479"/>
      <c r="T11" s="479"/>
      <c r="U11" s="479"/>
    </row>
    <row r="13" spans="1:21">
      <c r="A13" s="488"/>
      <c r="B13" s="488"/>
      <c r="C13" s="489" t="s">
        <v>542</v>
      </c>
      <c r="D13" s="489"/>
      <c r="E13" s="489"/>
      <c r="F13" s="489"/>
      <c r="G13" s="489"/>
      <c r="H13" s="489"/>
      <c r="I13" s="489" t="s">
        <v>543</v>
      </c>
      <c r="J13" s="489"/>
      <c r="K13" s="489"/>
      <c r="L13" s="489"/>
      <c r="M13" s="489" t="s">
        <v>544</v>
      </c>
      <c r="N13" s="489"/>
      <c r="O13" s="489"/>
      <c r="P13" s="489" t="s">
        <v>545</v>
      </c>
      <c r="Q13" s="489"/>
      <c r="R13" s="489"/>
      <c r="S13" s="489"/>
      <c r="T13" s="489"/>
      <c r="U13" s="489"/>
    </row>
    <row r="14" spans="1:21">
      <c r="A14" s="198" t="s">
        <v>639</v>
      </c>
      <c r="B14" s="199" t="s">
        <v>546</v>
      </c>
      <c r="C14" s="490" t="s">
        <v>547</v>
      </c>
      <c r="D14" s="490"/>
      <c r="E14" s="490"/>
      <c r="F14" s="490" t="s">
        <v>301</v>
      </c>
      <c r="G14" s="490"/>
      <c r="H14" s="490"/>
      <c r="I14" s="490" t="s">
        <v>547</v>
      </c>
      <c r="J14" s="490"/>
      <c r="K14" s="490" t="s">
        <v>301</v>
      </c>
      <c r="L14" s="490"/>
      <c r="M14" s="490" t="s">
        <v>547</v>
      </c>
      <c r="N14" s="490"/>
      <c r="O14" s="200" t="s">
        <v>301</v>
      </c>
      <c r="P14" s="490" t="s">
        <v>548</v>
      </c>
      <c r="Q14" s="490"/>
      <c r="R14" s="490" t="s">
        <v>549</v>
      </c>
      <c r="S14" s="490"/>
      <c r="T14" s="490" t="s">
        <v>550</v>
      </c>
      <c r="U14" s="490"/>
    </row>
    <row r="15" spans="1:21">
      <c r="A15" s="481" t="s">
        <v>382</v>
      </c>
      <c r="B15" s="481"/>
      <c r="C15" s="481"/>
      <c r="D15" s="481"/>
      <c r="Q15" s="482" t="s">
        <v>385</v>
      </c>
      <c r="R15" s="482"/>
      <c r="S15" s="482"/>
      <c r="T15" s="482"/>
      <c r="U15" s="482"/>
    </row>
    <row r="16" spans="1:21">
      <c r="A16" s="481"/>
      <c r="B16" s="481"/>
      <c r="C16" s="481"/>
      <c r="D16" s="481"/>
    </row>
    <row r="18" spans="1:21">
      <c r="A18" s="483"/>
      <c r="B18" s="483"/>
      <c r="C18" s="483"/>
      <c r="D18" s="483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</row>
    <row r="20" spans="1:21">
      <c r="A20" s="488"/>
      <c r="B20" s="488"/>
      <c r="C20" s="488"/>
      <c r="D20" s="489" t="s">
        <v>542</v>
      </c>
      <c r="E20" s="489"/>
      <c r="F20" s="489"/>
      <c r="G20" s="489"/>
      <c r="H20" s="489" t="s">
        <v>543</v>
      </c>
      <c r="I20" s="489"/>
      <c r="J20" s="489"/>
      <c r="K20" s="489"/>
      <c r="L20" s="489" t="s">
        <v>544</v>
      </c>
      <c r="M20" s="489"/>
      <c r="N20" s="489"/>
      <c r="O20" s="489"/>
      <c r="P20" s="489" t="s">
        <v>545</v>
      </c>
      <c r="Q20" s="489"/>
      <c r="R20" s="489"/>
      <c r="S20" s="489"/>
      <c r="T20" s="489"/>
      <c r="U20" s="201"/>
    </row>
    <row r="21" spans="1:21">
      <c r="A21" s="198" t="s">
        <v>639</v>
      </c>
      <c r="B21" s="491" t="s">
        <v>546</v>
      </c>
      <c r="C21" s="491"/>
      <c r="D21" s="490" t="s">
        <v>547</v>
      </c>
      <c r="E21" s="490"/>
      <c r="F21" s="490"/>
      <c r="G21" s="200" t="s">
        <v>301</v>
      </c>
      <c r="H21" s="490" t="s">
        <v>547</v>
      </c>
      <c r="I21" s="490"/>
      <c r="J21" s="490" t="s">
        <v>301</v>
      </c>
      <c r="K21" s="490"/>
      <c r="L21" s="490" t="s">
        <v>547</v>
      </c>
      <c r="M21" s="490"/>
      <c r="N21" s="490" t="s">
        <v>301</v>
      </c>
      <c r="O21" s="490"/>
      <c r="P21" s="490" t="s">
        <v>548</v>
      </c>
      <c r="Q21" s="490"/>
      <c r="R21" s="490" t="s">
        <v>549</v>
      </c>
      <c r="S21" s="490"/>
      <c r="T21" s="202" t="s">
        <v>550</v>
      </c>
      <c r="U21" s="201"/>
    </row>
    <row r="22" spans="1:21">
      <c r="A22" s="471" t="s">
        <v>556</v>
      </c>
      <c r="B22" s="471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</row>
    <row r="23" spans="1:21">
      <c r="A23" s="203"/>
      <c r="B23" s="204">
        <v>1331175.25</v>
      </c>
      <c r="C23" s="492">
        <v>1165787.2</v>
      </c>
      <c r="D23" s="492"/>
      <c r="E23" s="492"/>
      <c r="F23" s="492">
        <v>1165787.2</v>
      </c>
      <c r="G23" s="492"/>
      <c r="H23" s="492"/>
      <c r="I23" s="492">
        <v>1165787.2</v>
      </c>
      <c r="J23" s="492"/>
      <c r="K23" s="492">
        <v>1165787.2</v>
      </c>
      <c r="L23" s="492"/>
      <c r="M23" s="492">
        <v>1133856.73</v>
      </c>
      <c r="N23" s="492"/>
      <c r="O23" s="204">
        <v>1133856.73</v>
      </c>
      <c r="P23" s="492">
        <v>165388.04999999999</v>
      </c>
      <c r="Q23" s="492"/>
      <c r="R23" s="492">
        <v>0</v>
      </c>
      <c r="S23" s="492"/>
      <c r="T23" s="204">
        <v>31930.47</v>
      </c>
    </row>
    <row r="24" spans="1:21">
      <c r="A24" s="474" t="s">
        <v>557</v>
      </c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</row>
    <row r="25" spans="1:21">
      <c r="A25" s="205"/>
      <c r="B25" s="206">
        <v>241358</v>
      </c>
      <c r="C25" s="493">
        <v>140696.32999999999</v>
      </c>
      <c r="D25" s="493"/>
      <c r="E25" s="493"/>
      <c r="F25" s="493">
        <v>140696.32999999999</v>
      </c>
      <c r="G25" s="493"/>
      <c r="H25" s="493"/>
      <c r="I25" s="493">
        <v>140696.32999999999</v>
      </c>
      <c r="J25" s="493"/>
      <c r="K25" s="493">
        <v>140696.32999999999</v>
      </c>
      <c r="L25" s="493"/>
      <c r="M25" s="493">
        <v>139446.39000000001</v>
      </c>
      <c r="N25" s="493"/>
      <c r="O25" s="206">
        <v>139446.39000000001</v>
      </c>
      <c r="P25" s="493">
        <v>100661.67</v>
      </c>
      <c r="Q25" s="493"/>
      <c r="R25" s="493">
        <v>0</v>
      </c>
      <c r="S25" s="493"/>
      <c r="T25" s="206">
        <v>1249.94</v>
      </c>
    </row>
    <row r="26" spans="1:21">
      <c r="A26" s="494" t="s">
        <v>579</v>
      </c>
      <c r="B26" s="494"/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</row>
    <row r="27" spans="1:21">
      <c r="A27" s="203"/>
      <c r="B27" s="204">
        <v>11380</v>
      </c>
      <c r="C27" s="492">
        <v>7691.56</v>
      </c>
      <c r="D27" s="492"/>
      <c r="E27" s="492"/>
      <c r="F27" s="492">
        <v>7691.56</v>
      </c>
      <c r="G27" s="492"/>
      <c r="H27" s="492"/>
      <c r="I27" s="492">
        <v>7691.56</v>
      </c>
      <c r="J27" s="492"/>
      <c r="K27" s="492">
        <v>7691.56</v>
      </c>
      <c r="L27" s="492"/>
      <c r="M27" s="492">
        <v>7691.56</v>
      </c>
      <c r="N27" s="492"/>
      <c r="O27" s="204">
        <v>7691.56</v>
      </c>
      <c r="P27" s="492">
        <v>3688.44</v>
      </c>
      <c r="Q27" s="492"/>
      <c r="R27" s="492">
        <v>0</v>
      </c>
      <c r="S27" s="492"/>
      <c r="T27" s="204">
        <v>0</v>
      </c>
    </row>
    <row r="28" spans="1:21">
      <c r="A28" s="471" t="s">
        <v>551</v>
      </c>
      <c r="B28" s="471"/>
      <c r="C28" s="471"/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</row>
    <row r="29" spans="1:21">
      <c r="A29" s="203"/>
      <c r="B29" s="204">
        <v>11380</v>
      </c>
      <c r="C29" s="492">
        <v>7691.56</v>
      </c>
      <c r="D29" s="492"/>
      <c r="E29" s="492"/>
      <c r="F29" s="492">
        <v>7691.56</v>
      </c>
      <c r="G29" s="492"/>
      <c r="H29" s="492"/>
      <c r="I29" s="492">
        <v>7691.56</v>
      </c>
      <c r="J29" s="492"/>
      <c r="K29" s="492">
        <v>7691.56</v>
      </c>
      <c r="L29" s="492"/>
      <c r="M29" s="492">
        <v>7691.56</v>
      </c>
      <c r="N29" s="492"/>
      <c r="O29" s="204">
        <v>7691.56</v>
      </c>
      <c r="P29" s="492">
        <v>3688.44</v>
      </c>
      <c r="Q29" s="492"/>
      <c r="R29" s="492">
        <v>0</v>
      </c>
      <c r="S29" s="492"/>
      <c r="T29" s="204">
        <v>0</v>
      </c>
    </row>
    <row r="30" spans="1:21">
      <c r="A30" s="474" t="s">
        <v>574</v>
      </c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</row>
    <row r="31" spans="1:21">
      <c r="A31" s="205"/>
      <c r="B31" s="206">
        <v>97.6</v>
      </c>
      <c r="C31" s="493">
        <v>97.6</v>
      </c>
      <c r="D31" s="493"/>
      <c r="E31" s="493"/>
      <c r="F31" s="493">
        <v>97.6</v>
      </c>
      <c r="G31" s="493"/>
      <c r="H31" s="493"/>
      <c r="I31" s="493">
        <v>97.6</v>
      </c>
      <c r="J31" s="493"/>
      <c r="K31" s="493">
        <v>97.6</v>
      </c>
      <c r="L31" s="493"/>
      <c r="M31" s="493">
        <v>97.6</v>
      </c>
      <c r="N31" s="493"/>
      <c r="O31" s="206">
        <v>97.6</v>
      </c>
      <c r="P31" s="493">
        <v>0</v>
      </c>
      <c r="Q31" s="493"/>
      <c r="R31" s="493">
        <v>0</v>
      </c>
      <c r="S31" s="493"/>
      <c r="T31" s="206">
        <v>0</v>
      </c>
    </row>
    <row r="32" spans="1:21">
      <c r="A32" s="471" t="s">
        <v>575</v>
      </c>
      <c r="B32" s="471"/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</row>
    <row r="33" spans="1:20">
      <c r="A33" s="203"/>
      <c r="B33" s="204">
        <v>97.6</v>
      </c>
      <c r="C33" s="492">
        <v>97.6</v>
      </c>
      <c r="D33" s="492"/>
      <c r="E33" s="492"/>
      <c r="F33" s="492">
        <v>97.6</v>
      </c>
      <c r="G33" s="492"/>
      <c r="H33" s="492"/>
      <c r="I33" s="492">
        <v>97.6</v>
      </c>
      <c r="J33" s="492"/>
      <c r="K33" s="492">
        <v>97.6</v>
      </c>
      <c r="L33" s="492"/>
      <c r="M33" s="492">
        <v>97.6</v>
      </c>
      <c r="N33" s="492"/>
      <c r="O33" s="204">
        <v>97.6</v>
      </c>
      <c r="P33" s="492">
        <v>0</v>
      </c>
      <c r="Q33" s="492"/>
      <c r="R33" s="492">
        <v>0</v>
      </c>
      <c r="S33" s="492"/>
      <c r="T33" s="204">
        <v>0</v>
      </c>
    </row>
    <row r="34" spans="1:20">
      <c r="A34" s="495" t="s">
        <v>578</v>
      </c>
      <c r="B34" s="495"/>
      <c r="C34" s="495"/>
      <c r="D34" s="495"/>
      <c r="E34" s="495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5"/>
      <c r="R34" s="495"/>
      <c r="S34" s="495"/>
      <c r="T34" s="495"/>
    </row>
    <row r="35" spans="1:20">
      <c r="A35" s="205"/>
      <c r="B35" s="206">
        <v>97.6</v>
      </c>
      <c r="C35" s="493">
        <v>97.6</v>
      </c>
      <c r="D35" s="493"/>
      <c r="E35" s="493"/>
      <c r="F35" s="493">
        <v>97.6</v>
      </c>
      <c r="G35" s="493"/>
      <c r="H35" s="493"/>
      <c r="I35" s="493">
        <v>97.6</v>
      </c>
      <c r="J35" s="493"/>
      <c r="K35" s="493">
        <v>97.6</v>
      </c>
      <c r="L35" s="493"/>
      <c r="M35" s="493">
        <v>97.6</v>
      </c>
      <c r="N35" s="493"/>
      <c r="O35" s="206">
        <v>97.6</v>
      </c>
      <c r="P35" s="493">
        <v>0</v>
      </c>
      <c r="Q35" s="493"/>
      <c r="R35" s="493">
        <v>0</v>
      </c>
      <c r="S35" s="493"/>
      <c r="T35" s="206">
        <v>0</v>
      </c>
    </row>
    <row r="36" spans="1:20">
      <c r="A36" s="471" t="s">
        <v>580</v>
      </c>
      <c r="B36" s="471"/>
      <c r="C36" s="471"/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</row>
    <row r="37" spans="1:20">
      <c r="A37" s="203"/>
      <c r="B37" s="204">
        <v>2750</v>
      </c>
      <c r="C37" s="492">
        <v>2750</v>
      </c>
      <c r="D37" s="492"/>
      <c r="E37" s="492"/>
      <c r="F37" s="492">
        <v>2750</v>
      </c>
      <c r="G37" s="492"/>
      <c r="H37" s="492"/>
      <c r="I37" s="492">
        <v>2750</v>
      </c>
      <c r="J37" s="492"/>
      <c r="K37" s="492">
        <v>2750</v>
      </c>
      <c r="L37" s="492"/>
      <c r="M37" s="492">
        <v>2750</v>
      </c>
      <c r="N37" s="492"/>
      <c r="O37" s="204">
        <v>2750</v>
      </c>
      <c r="P37" s="492">
        <v>0</v>
      </c>
      <c r="Q37" s="492"/>
      <c r="R37" s="492">
        <v>0</v>
      </c>
      <c r="S37" s="492"/>
      <c r="T37" s="204">
        <v>0</v>
      </c>
    </row>
    <row r="38" spans="1:20">
      <c r="A38" s="474" t="s">
        <v>584</v>
      </c>
      <c r="B38" s="474"/>
      <c r="C38" s="474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</row>
    <row r="39" spans="1:20">
      <c r="A39" s="205"/>
      <c r="B39" s="206">
        <v>2750</v>
      </c>
      <c r="C39" s="493">
        <v>2750</v>
      </c>
      <c r="D39" s="493"/>
      <c r="E39" s="493"/>
      <c r="F39" s="493">
        <v>2750</v>
      </c>
      <c r="G39" s="493"/>
      <c r="H39" s="493"/>
      <c r="I39" s="493">
        <v>2750</v>
      </c>
      <c r="J39" s="493"/>
      <c r="K39" s="493">
        <v>2750</v>
      </c>
      <c r="L39" s="493"/>
      <c r="M39" s="493">
        <v>2750</v>
      </c>
      <c r="N39" s="493"/>
      <c r="O39" s="206">
        <v>2750</v>
      </c>
      <c r="P39" s="493">
        <v>0</v>
      </c>
      <c r="Q39" s="493"/>
      <c r="R39" s="493">
        <v>0</v>
      </c>
      <c r="S39" s="493"/>
      <c r="T39" s="206">
        <v>0</v>
      </c>
    </row>
    <row r="40" spans="1:20">
      <c r="A40" s="494" t="s">
        <v>585</v>
      </c>
      <c r="B40" s="494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</row>
    <row r="41" spans="1:20">
      <c r="A41" s="203"/>
      <c r="B41" s="204">
        <v>2750</v>
      </c>
      <c r="C41" s="492">
        <v>2750</v>
      </c>
      <c r="D41" s="492"/>
      <c r="E41" s="492"/>
      <c r="F41" s="492">
        <v>2750</v>
      </c>
      <c r="G41" s="492"/>
      <c r="H41" s="492"/>
      <c r="I41" s="492">
        <v>2750</v>
      </c>
      <c r="J41" s="492"/>
      <c r="K41" s="492">
        <v>2750</v>
      </c>
      <c r="L41" s="492"/>
      <c r="M41" s="492">
        <v>2750</v>
      </c>
      <c r="N41" s="492"/>
      <c r="O41" s="204">
        <v>2750</v>
      </c>
      <c r="P41" s="492">
        <v>0</v>
      </c>
      <c r="Q41" s="492"/>
      <c r="R41" s="492">
        <v>0</v>
      </c>
      <c r="S41" s="492"/>
      <c r="T41" s="204">
        <v>0</v>
      </c>
    </row>
    <row r="42" spans="1:20">
      <c r="A42" s="474" t="s">
        <v>586</v>
      </c>
      <c r="B42" s="474"/>
      <c r="C42" s="474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</row>
    <row r="43" spans="1:20">
      <c r="A43" s="205"/>
      <c r="B43" s="206">
        <v>8532.4</v>
      </c>
      <c r="C43" s="493">
        <v>4843.96</v>
      </c>
      <c r="D43" s="493"/>
      <c r="E43" s="493"/>
      <c r="F43" s="493">
        <v>4843.96</v>
      </c>
      <c r="G43" s="493"/>
      <c r="H43" s="493"/>
      <c r="I43" s="493">
        <v>4843.96</v>
      </c>
      <c r="J43" s="493"/>
      <c r="K43" s="493">
        <v>4843.96</v>
      </c>
      <c r="L43" s="493"/>
      <c r="M43" s="493">
        <v>4843.96</v>
      </c>
      <c r="N43" s="493"/>
      <c r="O43" s="206">
        <v>4843.96</v>
      </c>
      <c r="P43" s="493">
        <v>3688.44</v>
      </c>
      <c r="Q43" s="493"/>
      <c r="R43" s="493">
        <v>0</v>
      </c>
      <c r="S43" s="493"/>
      <c r="T43" s="206">
        <v>0</v>
      </c>
    </row>
    <row r="44" spans="1:20">
      <c r="A44" s="471" t="s">
        <v>593</v>
      </c>
      <c r="B44" s="471"/>
      <c r="C44" s="471"/>
      <c r="D44" s="471"/>
      <c r="E44" s="471"/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1"/>
      <c r="T44" s="471"/>
    </row>
    <row r="45" spans="1:20">
      <c r="A45" s="203"/>
      <c r="B45" s="204">
        <v>5008.42</v>
      </c>
      <c r="C45" s="492">
        <v>1319.98</v>
      </c>
      <c r="D45" s="492"/>
      <c r="E45" s="492"/>
      <c r="F45" s="492">
        <v>1319.98</v>
      </c>
      <c r="G45" s="492"/>
      <c r="H45" s="492"/>
      <c r="I45" s="492">
        <v>1319.98</v>
      </c>
      <c r="J45" s="492"/>
      <c r="K45" s="492">
        <v>1319.98</v>
      </c>
      <c r="L45" s="492"/>
      <c r="M45" s="492">
        <v>1319.98</v>
      </c>
      <c r="N45" s="492"/>
      <c r="O45" s="204">
        <v>1319.98</v>
      </c>
      <c r="P45" s="492">
        <v>3688.44</v>
      </c>
      <c r="Q45" s="492"/>
      <c r="R45" s="492">
        <v>0</v>
      </c>
      <c r="S45" s="492"/>
      <c r="T45" s="204">
        <v>0</v>
      </c>
    </row>
    <row r="46" spans="1:20">
      <c r="A46" s="495" t="s">
        <v>606</v>
      </c>
      <c r="B46" s="495"/>
      <c r="C46" s="495"/>
      <c r="D46" s="495"/>
      <c r="E46" s="495"/>
      <c r="F46" s="495"/>
      <c r="G46" s="495"/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495"/>
      <c r="S46" s="495"/>
      <c r="T46" s="495"/>
    </row>
    <row r="47" spans="1:20">
      <c r="A47" s="205"/>
      <c r="B47" s="206">
        <v>2782.4</v>
      </c>
      <c r="C47" s="493">
        <v>1201.52</v>
      </c>
      <c r="D47" s="493"/>
      <c r="E47" s="493"/>
      <c r="F47" s="493">
        <v>1201.52</v>
      </c>
      <c r="G47" s="493"/>
      <c r="H47" s="493"/>
      <c r="I47" s="493">
        <v>1201.52</v>
      </c>
      <c r="J47" s="493"/>
      <c r="K47" s="493">
        <v>1201.52</v>
      </c>
      <c r="L47" s="493"/>
      <c r="M47" s="493">
        <v>1201.52</v>
      </c>
      <c r="N47" s="493"/>
      <c r="O47" s="206">
        <v>1201.52</v>
      </c>
      <c r="P47" s="493">
        <v>1580.88</v>
      </c>
      <c r="Q47" s="493"/>
      <c r="R47" s="493">
        <v>0</v>
      </c>
      <c r="S47" s="493"/>
      <c r="T47" s="206">
        <v>0</v>
      </c>
    </row>
    <row r="48" spans="1:20">
      <c r="A48" s="494" t="s">
        <v>610</v>
      </c>
      <c r="B48" s="494"/>
      <c r="C48" s="494"/>
      <c r="D48" s="494"/>
      <c r="E48" s="494"/>
      <c r="F48" s="494"/>
      <c r="G48" s="494"/>
      <c r="H48" s="494"/>
      <c r="I48" s="494"/>
      <c r="J48" s="494"/>
      <c r="K48" s="494"/>
      <c r="L48" s="494"/>
      <c r="M48" s="494"/>
      <c r="N48" s="494"/>
      <c r="O48" s="494"/>
      <c r="P48" s="494"/>
      <c r="Q48" s="494"/>
      <c r="R48" s="494"/>
      <c r="S48" s="494"/>
      <c r="T48" s="494"/>
    </row>
    <row r="49" spans="1:20">
      <c r="A49" s="203"/>
      <c r="B49" s="204">
        <v>2226.02</v>
      </c>
      <c r="C49" s="492">
        <v>118.46</v>
      </c>
      <c r="D49" s="492"/>
      <c r="E49" s="492"/>
      <c r="F49" s="492">
        <v>118.46</v>
      </c>
      <c r="G49" s="492"/>
      <c r="H49" s="492"/>
      <c r="I49" s="492">
        <v>118.46</v>
      </c>
      <c r="J49" s="492"/>
      <c r="K49" s="492">
        <v>118.46</v>
      </c>
      <c r="L49" s="492"/>
      <c r="M49" s="492">
        <v>118.46</v>
      </c>
      <c r="N49" s="492"/>
      <c r="O49" s="204">
        <v>118.46</v>
      </c>
      <c r="P49" s="492">
        <v>2107.56</v>
      </c>
      <c r="Q49" s="492"/>
      <c r="R49" s="492">
        <v>0</v>
      </c>
      <c r="S49" s="492"/>
      <c r="T49" s="204">
        <v>0</v>
      </c>
    </row>
    <row r="50" spans="1:20">
      <c r="A50" s="474" t="s">
        <v>614</v>
      </c>
      <c r="B50" s="474"/>
      <c r="C50" s="474"/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474"/>
      <c r="P50" s="474"/>
      <c r="Q50" s="474"/>
      <c r="R50" s="474"/>
      <c r="S50" s="474"/>
      <c r="T50" s="474"/>
    </row>
    <row r="51" spans="1:20">
      <c r="A51" s="205"/>
      <c r="B51" s="206">
        <v>3523.98</v>
      </c>
      <c r="C51" s="493">
        <v>3523.98</v>
      </c>
      <c r="D51" s="493"/>
      <c r="E51" s="493"/>
      <c r="F51" s="493">
        <v>3523.98</v>
      </c>
      <c r="G51" s="493"/>
      <c r="H51" s="493"/>
      <c r="I51" s="493">
        <v>3523.98</v>
      </c>
      <c r="J51" s="493"/>
      <c r="K51" s="493">
        <v>3523.98</v>
      </c>
      <c r="L51" s="493"/>
      <c r="M51" s="493">
        <v>3523.98</v>
      </c>
      <c r="N51" s="493"/>
      <c r="O51" s="206">
        <v>3523.98</v>
      </c>
      <c r="P51" s="493">
        <v>0</v>
      </c>
      <c r="Q51" s="493"/>
      <c r="R51" s="493">
        <v>0</v>
      </c>
      <c r="S51" s="493"/>
      <c r="T51" s="206">
        <v>0</v>
      </c>
    </row>
    <row r="52" spans="1:20">
      <c r="A52" s="494" t="s">
        <v>615</v>
      </c>
      <c r="B52" s="494"/>
      <c r="C52" s="494"/>
      <c r="D52" s="494"/>
      <c r="E52" s="494"/>
      <c r="F52" s="494"/>
      <c r="G52" s="494"/>
      <c r="H52" s="494"/>
      <c r="I52" s="494"/>
      <c r="J52" s="494"/>
      <c r="K52" s="494"/>
      <c r="L52" s="494"/>
      <c r="M52" s="494"/>
      <c r="N52" s="494"/>
      <c r="O52" s="494"/>
      <c r="P52" s="494"/>
      <c r="Q52" s="494"/>
      <c r="R52" s="494"/>
      <c r="S52" s="494"/>
      <c r="T52" s="494"/>
    </row>
    <row r="53" spans="1:20">
      <c r="A53" s="203"/>
      <c r="B53" s="204">
        <v>3523.98</v>
      </c>
      <c r="C53" s="492">
        <v>3523.98</v>
      </c>
      <c r="D53" s="492"/>
      <c r="E53" s="492"/>
      <c r="F53" s="492">
        <v>3523.98</v>
      </c>
      <c r="G53" s="492"/>
      <c r="H53" s="492"/>
      <c r="I53" s="492">
        <v>3523.98</v>
      </c>
      <c r="J53" s="492"/>
      <c r="K53" s="492">
        <v>3523.98</v>
      </c>
      <c r="L53" s="492"/>
      <c r="M53" s="492">
        <v>3523.98</v>
      </c>
      <c r="N53" s="492"/>
      <c r="O53" s="204">
        <v>3523.98</v>
      </c>
      <c r="P53" s="492">
        <v>0</v>
      </c>
      <c r="Q53" s="492"/>
      <c r="R53" s="492">
        <v>0</v>
      </c>
      <c r="S53" s="492"/>
      <c r="T53" s="204">
        <v>0</v>
      </c>
    </row>
    <row r="54" spans="1:20">
      <c r="A54" s="495" t="s">
        <v>611</v>
      </c>
      <c r="B54" s="495"/>
      <c r="C54" s="495"/>
      <c r="D54" s="495"/>
      <c r="E54" s="495"/>
      <c r="F54" s="495"/>
      <c r="G54" s="495"/>
      <c r="H54" s="495"/>
      <c r="I54" s="495"/>
      <c r="J54" s="495"/>
      <c r="K54" s="495"/>
      <c r="L54" s="495"/>
      <c r="M54" s="495"/>
      <c r="N54" s="495"/>
      <c r="O54" s="495"/>
      <c r="P54" s="495"/>
      <c r="Q54" s="495"/>
      <c r="R54" s="495"/>
      <c r="S54" s="495"/>
      <c r="T54" s="495"/>
    </row>
    <row r="55" spans="1:20">
      <c r="A55" s="205"/>
      <c r="B55" s="206">
        <v>10440</v>
      </c>
      <c r="C55" s="493">
        <v>0</v>
      </c>
      <c r="D55" s="493"/>
      <c r="E55" s="493"/>
      <c r="F55" s="493">
        <v>0</v>
      </c>
      <c r="G55" s="493"/>
      <c r="H55" s="493"/>
      <c r="I55" s="493">
        <v>0</v>
      </c>
      <c r="J55" s="493"/>
      <c r="K55" s="493">
        <v>0</v>
      </c>
      <c r="L55" s="493"/>
      <c r="M55" s="493">
        <v>0</v>
      </c>
      <c r="N55" s="493"/>
      <c r="O55" s="206">
        <v>0</v>
      </c>
      <c r="P55" s="493">
        <v>10440</v>
      </c>
      <c r="Q55" s="493"/>
      <c r="R55" s="493">
        <v>0</v>
      </c>
      <c r="S55" s="493"/>
      <c r="T55" s="206">
        <v>0</v>
      </c>
    </row>
    <row r="56" spans="1:20">
      <c r="A56" s="471" t="s">
        <v>551</v>
      </c>
      <c r="B56" s="471"/>
      <c r="C56" s="471"/>
      <c r="D56" s="471"/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71"/>
      <c r="R56" s="471"/>
      <c r="S56" s="471"/>
      <c r="T56" s="471"/>
    </row>
    <row r="57" spans="1:20">
      <c r="A57" s="203"/>
      <c r="B57" s="204">
        <v>10440</v>
      </c>
      <c r="C57" s="492">
        <v>0</v>
      </c>
      <c r="D57" s="492"/>
      <c r="E57" s="492"/>
      <c r="F57" s="492">
        <v>0</v>
      </c>
      <c r="G57" s="492"/>
      <c r="H57" s="492"/>
      <c r="I57" s="492">
        <v>0</v>
      </c>
      <c r="J57" s="492"/>
      <c r="K57" s="492">
        <v>0</v>
      </c>
      <c r="L57" s="492"/>
      <c r="M57" s="492">
        <v>0</v>
      </c>
      <c r="N57" s="492"/>
      <c r="O57" s="204">
        <v>0</v>
      </c>
      <c r="P57" s="492">
        <v>10440</v>
      </c>
      <c r="Q57" s="492"/>
      <c r="R57" s="492">
        <v>0</v>
      </c>
      <c r="S57" s="492"/>
      <c r="T57" s="204">
        <v>0</v>
      </c>
    </row>
    <row r="58" spans="1:20">
      <c r="A58" s="474" t="s">
        <v>586</v>
      </c>
      <c r="B58" s="474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</row>
    <row r="59" spans="1:20">
      <c r="A59" s="205"/>
      <c r="B59" s="206">
        <v>10440</v>
      </c>
      <c r="C59" s="493">
        <v>0</v>
      </c>
      <c r="D59" s="493"/>
      <c r="E59" s="493"/>
      <c r="F59" s="493">
        <v>0</v>
      </c>
      <c r="G59" s="493"/>
      <c r="H59" s="493"/>
      <c r="I59" s="493">
        <v>0</v>
      </c>
      <c r="J59" s="493"/>
      <c r="K59" s="493">
        <v>0</v>
      </c>
      <c r="L59" s="493"/>
      <c r="M59" s="493">
        <v>0</v>
      </c>
      <c r="N59" s="493"/>
      <c r="O59" s="206">
        <v>0</v>
      </c>
      <c r="P59" s="493">
        <v>10440</v>
      </c>
      <c r="Q59" s="493"/>
      <c r="R59" s="493">
        <v>0</v>
      </c>
      <c r="S59" s="493"/>
      <c r="T59" s="206">
        <v>0</v>
      </c>
    </row>
    <row r="60" spans="1:20">
      <c r="A60" s="471" t="s">
        <v>593</v>
      </c>
      <c r="B60" s="471"/>
      <c r="C60" s="471"/>
      <c r="D60" s="471"/>
      <c r="E60" s="471"/>
      <c r="F60" s="471"/>
      <c r="G60" s="471"/>
      <c r="H60" s="471"/>
      <c r="I60" s="471"/>
      <c r="J60" s="471"/>
      <c r="K60" s="471"/>
      <c r="L60" s="471"/>
      <c r="M60" s="471"/>
      <c r="N60" s="471"/>
      <c r="O60" s="471"/>
      <c r="P60" s="471"/>
      <c r="Q60" s="471"/>
      <c r="R60" s="471"/>
      <c r="S60" s="471"/>
      <c r="T60" s="471"/>
    </row>
    <row r="61" spans="1:20">
      <c r="A61" s="203"/>
      <c r="B61" s="204">
        <v>10440</v>
      </c>
      <c r="C61" s="492">
        <v>0</v>
      </c>
      <c r="D61" s="492"/>
      <c r="E61" s="492"/>
      <c r="F61" s="492">
        <v>0</v>
      </c>
      <c r="G61" s="492"/>
      <c r="H61" s="492"/>
      <c r="I61" s="492">
        <v>0</v>
      </c>
      <c r="J61" s="492"/>
      <c r="K61" s="492">
        <v>0</v>
      </c>
      <c r="L61" s="492"/>
      <c r="M61" s="492">
        <v>0</v>
      </c>
      <c r="N61" s="492"/>
      <c r="O61" s="204">
        <v>0</v>
      </c>
      <c r="P61" s="492">
        <v>10440</v>
      </c>
      <c r="Q61" s="492"/>
      <c r="R61" s="492">
        <v>0</v>
      </c>
      <c r="S61" s="492"/>
      <c r="T61" s="204">
        <v>0</v>
      </c>
    </row>
    <row r="62" spans="1:20">
      <c r="A62" s="495" t="s">
        <v>610</v>
      </c>
      <c r="B62" s="495"/>
      <c r="C62" s="495"/>
      <c r="D62" s="495"/>
      <c r="E62" s="495"/>
      <c r="F62" s="495"/>
      <c r="G62" s="495"/>
      <c r="H62" s="495"/>
      <c r="I62" s="495"/>
      <c r="J62" s="495"/>
      <c r="K62" s="495"/>
      <c r="L62" s="495"/>
      <c r="M62" s="495"/>
      <c r="N62" s="495"/>
      <c r="O62" s="495"/>
      <c r="P62" s="495"/>
      <c r="Q62" s="495"/>
      <c r="R62" s="495"/>
      <c r="S62" s="495"/>
      <c r="T62" s="495"/>
    </row>
    <row r="63" spans="1:20">
      <c r="A63" s="205"/>
      <c r="B63" s="206">
        <v>10440</v>
      </c>
      <c r="C63" s="493">
        <v>0</v>
      </c>
      <c r="D63" s="493"/>
      <c r="E63" s="493"/>
      <c r="F63" s="493">
        <v>0</v>
      </c>
      <c r="G63" s="493"/>
      <c r="H63" s="493"/>
      <c r="I63" s="493">
        <v>0</v>
      </c>
      <c r="J63" s="493"/>
      <c r="K63" s="493">
        <v>0</v>
      </c>
      <c r="L63" s="493"/>
      <c r="M63" s="493">
        <v>0</v>
      </c>
      <c r="N63" s="493"/>
      <c r="O63" s="206">
        <v>0</v>
      </c>
      <c r="P63" s="493">
        <v>10440</v>
      </c>
      <c r="Q63" s="493"/>
      <c r="R63" s="493">
        <v>0</v>
      </c>
      <c r="S63" s="493"/>
      <c r="T63" s="206">
        <v>0</v>
      </c>
    </row>
    <row r="64" spans="1:20">
      <c r="A64" s="494" t="s">
        <v>558</v>
      </c>
      <c r="B64" s="494"/>
      <c r="C64" s="494"/>
      <c r="D64" s="494"/>
      <c r="E64" s="494"/>
      <c r="F64" s="494"/>
      <c r="G64" s="494"/>
      <c r="H64" s="494"/>
      <c r="I64" s="494"/>
      <c r="J64" s="494"/>
      <c r="K64" s="494"/>
      <c r="L64" s="494"/>
      <c r="M64" s="494"/>
      <c r="N64" s="494"/>
      <c r="O64" s="494"/>
      <c r="P64" s="494"/>
      <c r="Q64" s="494"/>
      <c r="R64" s="494"/>
      <c r="S64" s="494"/>
      <c r="T64" s="494"/>
    </row>
    <row r="65" spans="1:20">
      <c r="A65" s="203"/>
      <c r="B65" s="204">
        <v>94613</v>
      </c>
      <c r="C65" s="492">
        <v>79762.77</v>
      </c>
      <c r="D65" s="492"/>
      <c r="E65" s="492"/>
      <c r="F65" s="492">
        <v>79762.77</v>
      </c>
      <c r="G65" s="492"/>
      <c r="H65" s="492"/>
      <c r="I65" s="492">
        <v>79762.77</v>
      </c>
      <c r="J65" s="492"/>
      <c r="K65" s="492">
        <v>79762.77</v>
      </c>
      <c r="L65" s="492"/>
      <c r="M65" s="492">
        <v>78512.83</v>
      </c>
      <c r="N65" s="492"/>
      <c r="O65" s="204">
        <v>78512.83</v>
      </c>
      <c r="P65" s="492">
        <v>14850.23</v>
      </c>
      <c r="Q65" s="492"/>
      <c r="R65" s="492">
        <v>0</v>
      </c>
      <c r="S65" s="492"/>
      <c r="T65" s="204">
        <v>1249.94</v>
      </c>
    </row>
    <row r="66" spans="1:20">
      <c r="A66" s="471" t="s">
        <v>551</v>
      </c>
      <c r="B66" s="471"/>
      <c r="C66" s="471"/>
      <c r="D66" s="471"/>
      <c r="E66" s="471"/>
      <c r="F66" s="471"/>
      <c r="G66" s="471"/>
      <c r="H66" s="471"/>
      <c r="I66" s="471"/>
      <c r="J66" s="471"/>
      <c r="K66" s="471"/>
      <c r="L66" s="471"/>
      <c r="M66" s="471"/>
      <c r="N66" s="471"/>
      <c r="O66" s="471"/>
      <c r="P66" s="471"/>
      <c r="Q66" s="471"/>
      <c r="R66" s="471"/>
      <c r="S66" s="471"/>
      <c r="T66" s="471"/>
    </row>
    <row r="67" spans="1:20">
      <c r="A67" s="203"/>
      <c r="B67" s="204">
        <v>94613</v>
      </c>
      <c r="C67" s="492">
        <v>79762.77</v>
      </c>
      <c r="D67" s="492"/>
      <c r="E67" s="492"/>
      <c r="F67" s="492">
        <v>79762.77</v>
      </c>
      <c r="G67" s="492"/>
      <c r="H67" s="492"/>
      <c r="I67" s="492">
        <v>79762.77</v>
      </c>
      <c r="J67" s="492"/>
      <c r="K67" s="492">
        <v>79762.77</v>
      </c>
      <c r="L67" s="492"/>
      <c r="M67" s="492">
        <v>78512.83</v>
      </c>
      <c r="N67" s="492"/>
      <c r="O67" s="204">
        <v>78512.83</v>
      </c>
      <c r="P67" s="492">
        <v>14850.23</v>
      </c>
      <c r="Q67" s="492"/>
      <c r="R67" s="492">
        <v>0</v>
      </c>
      <c r="S67" s="492"/>
      <c r="T67" s="204">
        <v>1249.94</v>
      </c>
    </row>
    <row r="68" spans="1:20">
      <c r="A68" s="474" t="s">
        <v>552</v>
      </c>
      <c r="B68" s="474"/>
      <c r="C68" s="474"/>
      <c r="D68" s="474"/>
      <c r="E68" s="474"/>
      <c r="F68" s="474"/>
      <c r="G68" s="474"/>
      <c r="H68" s="474"/>
      <c r="I68" s="474"/>
      <c r="J68" s="474"/>
      <c r="K68" s="474"/>
      <c r="L68" s="474"/>
      <c r="M68" s="474"/>
      <c r="N68" s="474"/>
      <c r="O68" s="474"/>
      <c r="P68" s="474"/>
      <c r="Q68" s="474"/>
      <c r="R68" s="474"/>
      <c r="S68" s="474"/>
      <c r="T68" s="474"/>
    </row>
    <row r="69" spans="1:20">
      <c r="A69" s="205"/>
      <c r="B69" s="206">
        <v>74484.100000000006</v>
      </c>
      <c r="C69" s="493">
        <v>73225.87</v>
      </c>
      <c r="D69" s="493"/>
      <c r="E69" s="493"/>
      <c r="F69" s="493">
        <v>73225.87</v>
      </c>
      <c r="G69" s="493"/>
      <c r="H69" s="493"/>
      <c r="I69" s="493">
        <v>73225.87</v>
      </c>
      <c r="J69" s="493"/>
      <c r="K69" s="493">
        <v>73225.87</v>
      </c>
      <c r="L69" s="493"/>
      <c r="M69" s="493">
        <v>71975.929999999993</v>
      </c>
      <c r="N69" s="493"/>
      <c r="O69" s="206">
        <v>71975.929999999993</v>
      </c>
      <c r="P69" s="493">
        <v>1258.23</v>
      </c>
      <c r="Q69" s="493"/>
      <c r="R69" s="493">
        <v>0</v>
      </c>
      <c r="S69" s="493"/>
      <c r="T69" s="206">
        <v>1249.94</v>
      </c>
    </row>
    <row r="70" spans="1:20">
      <c r="A70" s="471" t="s">
        <v>553</v>
      </c>
      <c r="B70" s="471"/>
      <c r="C70" s="471"/>
      <c r="D70" s="471"/>
      <c r="E70" s="471"/>
      <c r="F70" s="471"/>
      <c r="G70" s="471"/>
      <c r="H70" s="471"/>
      <c r="I70" s="471"/>
      <c r="J70" s="471"/>
      <c r="K70" s="471"/>
      <c r="L70" s="471"/>
      <c r="M70" s="471"/>
      <c r="N70" s="471"/>
      <c r="O70" s="471"/>
      <c r="P70" s="471"/>
      <c r="Q70" s="471"/>
      <c r="R70" s="471"/>
      <c r="S70" s="471"/>
      <c r="T70" s="471"/>
    </row>
    <row r="71" spans="1:20">
      <c r="A71" s="203"/>
      <c r="B71" s="204">
        <v>74484.100000000006</v>
      </c>
      <c r="C71" s="492">
        <v>73225.87</v>
      </c>
      <c r="D71" s="492"/>
      <c r="E71" s="492"/>
      <c r="F71" s="492">
        <v>73225.87</v>
      </c>
      <c r="G71" s="492"/>
      <c r="H71" s="492"/>
      <c r="I71" s="492">
        <v>73225.87</v>
      </c>
      <c r="J71" s="492"/>
      <c r="K71" s="492">
        <v>73225.87</v>
      </c>
      <c r="L71" s="492"/>
      <c r="M71" s="492">
        <v>71975.929999999993</v>
      </c>
      <c r="N71" s="492"/>
      <c r="O71" s="204">
        <v>71975.929999999993</v>
      </c>
      <c r="P71" s="492">
        <v>1258.23</v>
      </c>
      <c r="Q71" s="492"/>
      <c r="R71" s="492">
        <v>0</v>
      </c>
      <c r="S71" s="492"/>
      <c r="T71" s="204">
        <v>1249.94</v>
      </c>
    </row>
    <row r="72" spans="1:20">
      <c r="A72" s="474" t="s">
        <v>554</v>
      </c>
      <c r="B72" s="474"/>
      <c r="C72" s="474"/>
      <c r="D72" s="474"/>
      <c r="E72" s="474"/>
      <c r="F72" s="474"/>
      <c r="G72" s="474"/>
      <c r="H72" s="474"/>
      <c r="I72" s="474"/>
      <c r="J72" s="474"/>
      <c r="K72" s="474"/>
      <c r="L72" s="474"/>
      <c r="M72" s="474"/>
      <c r="N72" s="474"/>
      <c r="O72" s="474"/>
      <c r="P72" s="474"/>
      <c r="Q72" s="474"/>
      <c r="R72" s="474"/>
      <c r="S72" s="474"/>
      <c r="T72" s="474"/>
    </row>
    <row r="73" spans="1:20">
      <c r="A73" s="205"/>
      <c r="B73" s="206">
        <v>53319.96</v>
      </c>
      <c r="C73" s="493">
        <v>53207.24</v>
      </c>
      <c r="D73" s="493"/>
      <c r="E73" s="493"/>
      <c r="F73" s="493">
        <v>53207.24</v>
      </c>
      <c r="G73" s="493"/>
      <c r="H73" s="493"/>
      <c r="I73" s="493">
        <v>53207.24</v>
      </c>
      <c r="J73" s="493"/>
      <c r="K73" s="493">
        <v>53207.24</v>
      </c>
      <c r="L73" s="493"/>
      <c r="M73" s="493">
        <v>53207.24</v>
      </c>
      <c r="N73" s="493"/>
      <c r="O73" s="206">
        <v>53207.24</v>
      </c>
      <c r="P73" s="493">
        <v>112.72</v>
      </c>
      <c r="Q73" s="493"/>
      <c r="R73" s="493">
        <v>0</v>
      </c>
      <c r="S73" s="493"/>
      <c r="T73" s="206">
        <v>0</v>
      </c>
    </row>
    <row r="74" spans="1:20">
      <c r="A74" s="494" t="s">
        <v>555</v>
      </c>
      <c r="B74" s="494"/>
      <c r="C74" s="494"/>
      <c r="D74" s="494"/>
      <c r="E74" s="494"/>
      <c r="F74" s="494"/>
      <c r="G74" s="494"/>
      <c r="H74" s="494"/>
      <c r="I74" s="494"/>
      <c r="J74" s="494"/>
      <c r="K74" s="494"/>
      <c r="L74" s="494"/>
      <c r="M74" s="494"/>
      <c r="N74" s="494"/>
      <c r="O74" s="494"/>
      <c r="P74" s="494"/>
      <c r="Q74" s="494"/>
      <c r="R74" s="494"/>
      <c r="S74" s="494"/>
      <c r="T74" s="494"/>
    </row>
    <row r="75" spans="1:20">
      <c r="A75" s="203"/>
      <c r="B75" s="204">
        <v>47284.38</v>
      </c>
      <c r="C75" s="492">
        <v>47284.38</v>
      </c>
      <c r="D75" s="492"/>
      <c r="E75" s="492"/>
      <c r="F75" s="492">
        <v>47284.38</v>
      </c>
      <c r="G75" s="492"/>
      <c r="H75" s="492"/>
      <c r="I75" s="492">
        <v>47284.38</v>
      </c>
      <c r="J75" s="492"/>
      <c r="K75" s="492">
        <v>47284.38</v>
      </c>
      <c r="L75" s="492"/>
      <c r="M75" s="492">
        <v>47284.38</v>
      </c>
      <c r="N75" s="492"/>
      <c r="O75" s="204">
        <v>47284.38</v>
      </c>
      <c r="P75" s="492">
        <v>0</v>
      </c>
      <c r="Q75" s="492"/>
      <c r="R75" s="492">
        <v>0</v>
      </c>
      <c r="S75" s="492"/>
      <c r="T75" s="204">
        <v>0</v>
      </c>
    </row>
    <row r="76" spans="1:20">
      <c r="A76" s="495" t="s">
        <v>565</v>
      </c>
      <c r="B76" s="495"/>
      <c r="C76" s="495"/>
      <c r="D76" s="495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495"/>
      <c r="S76" s="495"/>
      <c r="T76" s="495"/>
    </row>
    <row r="77" spans="1:20">
      <c r="A77" s="205"/>
      <c r="B77" s="206">
        <v>4084.1</v>
      </c>
      <c r="C77" s="493">
        <v>3971.38</v>
      </c>
      <c r="D77" s="493"/>
      <c r="E77" s="493"/>
      <c r="F77" s="493">
        <v>3971.38</v>
      </c>
      <c r="G77" s="493"/>
      <c r="H77" s="493"/>
      <c r="I77" s="493">
        <v>3971.38</v>
      </c>
      <c r="J77" s="493"/>
      <c r="K77" s="493">
        <v>3971.38</v>
      </c>
      <c r="L77" s="493"/>
      <c r="M77" s="493">
        <v>3971.38</v>
      </c>
      <c r="N77" s="493"/>
      <c r="O77" s="206">
        <v>3971.38</v>
      </c>
      <c r="P77" s="493">
        <v>112.72</v>
      </c>
      <c r="Q77" s="493"/>
      <c r="R77" s="493">
        <v>0</v>
      </c>
      <c r="S77" s="493"/>
      <c r="T77" s="206">
        <v>0</v>
      </c>
    </row>
    <row r="78" spans="1:20">
      <c r="A78" s="494" t="s">
        <v>566</v>
      </c>
      <c r="B78" s="494"/>
      <c r="C78" s="494"/>
      <c r="D78" s="494"/>
      <c r="E78" s="494"/>
      <c r="F78" s="494"/>
      <c r="G78" s="494"/>
      <c r="H78" s="494"/>
      <c r="I78" s="494"/>
      <c r="J78" s="494"/>
      <c r="K78" s="494"/>
      <c r="L78" s="494"/>
      <c r="M78" s="494"/>
      <c r="N78" s="494"/>
      <c r="O78" s="494"/>
      <c r="P78" s="494"/>
      <c r="Q78" s="494"/>
      <c r="R78" s="494"/>
      <c r="S78" s="494"/>
      <c r="T78" s="494"/>
    </row>
    <row r="79" spans="1:20">
      <c r="A79" s="203"/>
      <c r="B79" s="204">
        <v>1951.48</v>
      </c>
      <c r="C79" s="492">
        <v>1951.48</v>
      </c>
      <c r="D79" s="492"/>
      <c r="E79" s="492"/>
      <c r="F79" s="492">
        <v>1951.48</v>
      </c>
      <c r="G79" s="492"/>
      <c r="H79" s="492"/>
      <c r="I79" s="492">
        <v>1951.48</v>
      </c>
      <c r="J79" s="492"/>
      <c r="K79" s="492">
        <v>1951.48</v>
      </c>
      <c r="L79" s="492"/>
      <c r="M79" s="492">
        <v>1951.48</v>
      </c>
      <c r="N79" s="492"/>
      <c r="O79" s="204">
        <v>1951.48</v>
      </c>
      <c r="P79" s="492">
        <v>0</v>
      </c>
      <c r="Q79" s="492"/>
      <c r="R79" s="492">
        <v>0</v>
      </c>
      <c r="S79" s="492"/>
      <c r="T79" s="204">
        <v>0</v>
      </c>
    </row>
    <row r="80" spans="1:20">
      <c r="A80" s="474" t="s">
        <v>567</v>
      </c>
      <c r="B80" s="474"/>
      <c r="C80" s="474"/>
      <c r="D80" s="474"/>
      <c r="E80" s="474"/>
      <c r="F80" s="474"/>
      <c r="G80" s="474"/>
      <c r="H80" s="474"/>
      <c r="I80" s="474"/>
      <c r="J80" s="474"/>
      <c r="K80" s="474"/>
      <c r="L80" s="474"/>
      <c r="M80" s="474"/>
      <c r="N80" s="474"/>
      <c r="O80" s="474"/>
      <c r="P80" s="474"/>
      <c r="Q80" s="474"/>
      <c r="R80" s="474"/>
      <c r="S80" s="474"/>
      <c r="T80" s="474"/>
    </row>
    <row r="81" spans="1:20">
      <c r="A81" s="205"/>
      <c r="B81" s="206">
        <v>15908.9</v>
      </c>
      <c r="C81" s="493">
        <v>15866.61</v>
      </c>
      <c r="D81" s="493"/>
      <c r="E81" s="493"/>
      <c r="F81" s="493">
        <v>15866.61</v>
      </c>
      <c r="G81" s="493"/>
      <c r="H81" s="493"/>
      <c r="I81" s="493">
        <v>15866.61</v>
      </c>
      <c r="J81" s="493"/>
      <c r="K81" s="493">
        <v>15866.61</v>
      </c>
      <c r="L81" s="493"/>
      <c r="M81" s="493">
        <v>14616.67</v>
      </c>
      <c r="N81" s="493"/>
      <c r="O81" s="206">
        <v>14616.67</v>
      </c>
      <c r="P81" s="493">
        <v>42.29</v>
      </c>
      <c r="Q81" s="493"/>
      <c r="R81" s="493">
        <v>0</v>
      </c>
      <c r="S81" s="493"/>
      <c r="T81" s="206">
        <v>1249.94</v>
      </c>
    </row>
    <row r="82" spans="1:20">
      <c r="A82" s="494" t="s">
        <v>568</v>
      </c>
      <c r="B82" s="494"/>
      <c r="C82" s="494"/>
      <c r="D82" s="494"/>
      <c r="E82" s="494"/>
      <c r="F82" s="494"/>
      <c r="G82" s="494"/>
      <c r="H82" s="494"/>
      <c r="I82" s="494"/>
      <c r="J82" s="494"/>
      <c r="K82" s="494"/>
      <c r="L82" s="494"/>
      <c r="M82" s="494"/>
      <c r="N82" s="494"/>
      <c r="O82" s="494"/>
      <c r="P82" s="494"/>
      <c r="Q82" s="494"/>
      <c r="R82" s="494"/>
      <c r="S82" s="494"/>
      <c r="T82" s="494"/>
    </row>
    <row r="83" spans="1:20">
      <c r="A83" s="203"/>
      <c r="B83" s="204">
        <v>11316.2</v>
      </c>
      <c r="C83" s="492">
        <v>11273.91</v>
      </c>
      <c r="D83" s="492"/>
      <c r="E83" s="492"/>
      <c r="F83" s="492">
        <v>11273.91</v>
      </c>
      <c r="G83" s="492"/>
      <c r="H83" s="492"/>
      <c r="I83" s="492">
        <v>11273.91</v>
      </c>
      <c r="J83" s="492"/>
      <c r="K83" s="492">
        <v>11273.91</v>
      </c>
      <c r="L83" s="492"/>
      <c r="M83" s="492">
        <v>10487.49</v>
      </c>
      <c r="N83" s="492"/>
      <c r="O83" s="204">
        <v>10487.49</v>
      </c>
      <c r="P83" s="492">
        <v>42.29</v>
      </c>
      <c r="Q83" s="492"/>
      <c r="R83" s="492">
        <v>0</v>
      </c>
      <c r="S83" s="492"/>
      <c r="T83" s="204">
        <v>786.42</v>
      </c>
    </row>
    <row r="84" spans="1:20">
      <c r="A84" s="495" t="s">
        <v>569</v>
      </c>
      <c r="B84" s="495"/>
      <c r="C84" s="495"/>
      <c r="D84" s="495"/>
      <c r="E84" s="495"/>
      <c r="F84" s="495"/>
      <c r="G84" s="495"/>
      <c r="H84" s="495"/>
      <c r="I84" s="495"/>
      <c r="J84" s="495"/>
      <c r="K84" s="495"/>
      <c r="L84" s="495"/>
      <c r="M84" s="495"/>
      <c r="N84" s="495"/>
      <c r="O84" s="495"/>
      <c r="P84" s="495"/>
      <c r="Q84" s="495"/>
      <c r="R84" s="495"/>
      <c r="S84" s="495"/>
      <c r="T84" s="495"/>
    </row>
    <row r="85" spans="1:20">
      <c r="A85" s="205"/>
      <c r="B85" s="206">
        <v>4082.4</v>
      </c>
      <c r="C85" s="493">
        <v>4082.4</v>
      </c>
      <c r="D85" s="493"/>
      <c r="E85" s="493"/>
      <c r="F85" s="493">
        <v>4082.4</v>
      </c>
      <c r="G85" s="493"/>
      <c r="H85" s="493"/>
      <c r="I85" s="493">
        <v>4082.4</v>
      </c>
      <c r="J85" s="493"/>
      <c r="K85" s="493">
        <v>4082.4</v>
      </c>
      <c r="L85" s="493"/>
      <c r="M85" s="493">
        <v>3669.99</v>
      </c>
      <c r="N85" s="493"/>
      <c r="O85" s="206">
        <v>3669.99</v>
      </c>
      <c r="P85" s="493">
        <v>0</v>
      </c>
      <c r="Q85" s="493"/>
      <c r="R85" s="493">
        <v>0</v>
      </c>
      <c r="S85" s="493"/>
      <c r="T85" s="206">
        <v>412.41</v>
      </c>
    </row>
    <row r="86" spans="1:20">
      <c r="A86" s="494" t="s">
        <v>570</v>
      </c>
      <c r="B86" s="494"/>
      <c r="C86" s="494"/>
      <c r="D86" s="494"/>
      <c r="E86" s="494"/>
      <c r="F86" s="494"/>
      <c r="G86" s="494"/>
      <c r="H86" s="494"/>
      <c r="I86" s="494"/>
      <c r="J86" s="494"/>
      <c r="K86" s="494"/>
      <c r="L86" s="494"/>
      <c r="M86" s="494"/>
      <c r="N86" s="494"/>
      <c r="O86" s="494"/>
      <c r="P86" s="494"/>
      <c r="Q86" s="494"/>
      <c r="R86" s="494"/>
      <c r="S86" s="494"/>
      <c r="T86" s="494"/>
    </row>
    <row r="87" spans="1:20">
      <c r="A87" s="203"/>
      <c r="B87" s="204">
        <v>510.3</v>
      </c>
      <c r="C87" s="492">
        <v>510.3</v>
      </c>
      <c r="D87" s="492"/>
      <c r="E87" s="492"/>
      <c r="F87" s="492">
        <v>510.3</v>
      </c>
      <c r="G87" s="492"/>
      <c r="H87" s="492"/>
      <c r="I87" s="492">
        <v>510.3</v>
      </c>
      <c r="J87" s="492"/>
      <c r="K87" s="492">
        <v>510.3</v>
      </c>
      <c r="L87" s="492"/>
      <c r="M87" s="492">
        <v>459.19</v>
      </c>
      <c r="N87" s="492"/>
      <c r="O87" s="204">
        <v>459.19</v>
      </c>
      <c r="P87" s="492">
        <v>0</v>
      </c>
      <c r="Q87" s="492"/>
      <c r="R87" s="492">
        <v>0</v>
      </c>
      <c r="S87" s="492"/>
      <c r="T87" s="204">
        <v>51.11</v>
      </c>
    </row>
    <row r="88" spans="1:20">
      <c r="A88" s="474" t="s">
        <v>571</v>
      </c>
      <c r="B88" s="474"/>
      <c r="C88" s="474"/>
      <c r="D88" s="474"/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4"/>
      <c r="P88" s="474"/>
      <c r="Q88" s="474"/>
      <c r="R88" s="474"/>
      <c r="S88" s="474"/>
      <c r="T88" s="474"/>
    </row>
    <row r="89" spans="1:20">
      <c r="A89" s="205"/>
      <c r="B89" s="206">
        <v>5255.24</v>
      </c>
      <c r="C89" s="493">
        <v>4152.0200000000004</v>
      </c>
      <c r="D89" s="493"/>
      <c r="E89" s="493"/>
      <c r="F89" s="493">
        <v>4152.0200000000004</v>
      </c>
      <c r="G89" s="493"/>
      <c r="H89" s="493"/>
      <c r="I89" s="493">
        <v>4152.0200000000004</v>
      </c>
      <c r="J89" s="493"/>
      <c r="K89" s="493">
        <v>4152.0200000000004</v>
      </c>
      <c r="L89" s="493"/>
      <c r="M89" s="493">
        <v>4152.0200000000004</v>
      </c>
      <c r="N89" s="493"/>
      <c r="O89" s="206">
        <v>4152.0200000000004</v>
      </c>
      <c r="P89" s="493">
        <v>1103.22</v>
      </c>
      <c r="Q89" s="493"/>
      <c r="R89" s="493">
        <v>0</v>
      </c>
      <c r="S89" s="493"/>
      <c r="T89" s="206">
        <v>0</v>
      </c>
    </row>
    <row r="90" spans="1:20">
      <c r="A90" s="494" t="s">
        <v>573</v>
      </c>
      <c r="B90" s="494"/>
      <c r="C90" s="494"/>
      <c r="D90" s="494"/>
      <c r="E90" s="494"/>
      <c r="F90" s="494"/>
      <c r="G90" s="494"/>
      <c r="H90" s="494"/>
      <c r="I90" s="494"/>
      <c r="J90" s="494"/>
      <c r="K90" s="494"/>
      <c r="L90" s="494"/>
      <c r="M90" s="494"/>
      <c r="N90" s="494"/>
      <c r="O90" s="494"/>
      <c r="P90" s="494"/>
      <c r="Q90" s="494"/>
      <c r="R90" s="494"/>
      <c r="S90" s="494"/>
      <c r="T90" s="494"/>
    </row>
    <row r="91" spans="1:20">
      <c r="A91" s="203"/>
      <c r="B91" s="204">
        <v>5255.24</v>
      </c>
      <c r="C91" s="492">
        <v>4152.0200000000004</v>
      </c>
      <c r="D91" s="492"/>
      <c r="E91" s="492"/>
      <c r="F91" s="492">
        <v>4152.0200000000004</v>
      </c>
      <c r="G91" s="492"/>
      <c r="H91" s="492"/>
      <c r="I91" s="492">
        <v>4152.0200000000004</v>
      </c>
      <c r="J91" s="492"/>
      <c r="K91" s="492">
        <v>4152.0200000000004</v>
      </c>
      <c r="L91" s="492"/>
      <c r="M91" s="492">
        <v>4152.0200000000004</v>
      </c>
      <c r="N91" s="492"/>
      <c r="O91" s="204">
        <v>4152.0200000000004</v>
      </c>
      <c r="P91" s="492">
        <v>1103.22</v>
      </c>
      <c r="Q91" s="492"/>
      <c r="R91" s="492">
        <v>0</v>
      </c>
      <c r="S91" s="492"/>
      <c r="T91" s="204">
        <v>0</v>
      </c>
    </row>
    <row r="92" spans="1:20">
      <c r="A92" s="474" t="s">
        <v>580</v>
      </c>
      <c r="B92" s="474"/>
      <c r="C92" s="474"/>
      <c r="D92" s="474"/>
      <c r="E92" s="474"/>
      <c r="F92" s="474"/>
      <c r="G92" s="474"/>
      <c r="H92" s="474"/>
      <c r="I92" s="474"/>
      <c r="J92" s="474"/>
      <c r="K92" s="474"/>
      <c r="L92" s="474"/>
      <c r="M92" s="474"/>
      <c r="N92" s="474"/>
      <c r="O92" s="474"/>
      <c r="P92" s="474"/>
      <c r="Q92" s="474"/>
      <c r="R92" s="474"/>
      <c r="S92" s="474"/>
      <c r="T92" s="474"/>
    </row>
    <row r="93" spans="1:20">
      <c r="A93" s="205"/>
      <c r="B93" s="206">
        <v>4112.8999999999996</v>
      </c>
      <c r="C93" s="493">
        <v>4112.8999999999996</v>
      </c>
      <c r="D93" s="493"/>
      <c r="E93" s="493"/>
      <c r="F93" s="493">
        <v>4112.8999999999996</v>
      </c>
      <c r="G93" s="493"/>
      <c r="H93" s="493"/>
      <c r="I93" s="493">
        <v>4112.8999999999996</v>
      </c>
      <c r="J93" s="493"/>
      <c r="K93" s="493">
        <v>4112.8999999999996</v>
      </c>
      <c r="L93" s="493"/>
      <c r="M93" s="493">
        <v>4112.8999999999996</v>
      </c>
      <c r="N93" s="493"/>
      <c r="O93" s="206">
        <v>4112.8999999999996</v>
      </c>
      <c r="P93" s="493">
        <v>0</v>
      </c>
      <c r="Q93" s="493"/>
      <c r="R93" s="493">
        <v>0</v>
      </c>
      <c r="S93" s="493"/>
      <c r="T93" s="206">
        <v>0</v>
      </c>
    </row>
    <row r="94" spans="1:20">
      <c r="A94" s="471" t="s">
        <v>581</v>
      </c>
      <c r="B94" s="471"/>
      <c r="C94" s="471"/>
      <c r="D94" s="471"/>
      <c r="E94" s="471"/>
      <c r="F94" s="471"/>
      <c r="G94" s="471"/>
      <c r="H94" s="471"/>
      <c r="I94" s="471"/>
      <c r="J94" s="471"/>
      <c r="K94" s="471"/>
      <c r="L94" s="471"/>
      <c r="M94" s="471"/>
      <c r="N94" s="471"/>
      <c r="O94" s="471"/>
      <c r="P94" s="471"/>
      <c r="Q94" s="471"/>
      <c r="R94" s="471"/>
      <c r="S94" s="471"/>
      <c r="T94" s="471"/>
    </row>
    <row r="95" spans="1:20">
      <c r="A95" s="203"/>
      <c r="B95" s="204">
        <v>4112.8999999999996</v>
      </c>
      <c r="C95" s="492">
        <v>4112.8999999999996</v>
      </c>
      <c r="D95" s="492"/>
      <c r="E95" s="492"/>
      <c r="F95" s="492">
        <v>4112.8999999999996</v>
      </c>
      <c r="G95" s="492"/>
      <c r="H95" s="492"/>
      <c r="I95" s="492">
        <v>4112.8999999999996</v>
      </c>
      <c r="J95" s="492"/>
      <c r="K95" s="492">
        <v>4112.8999999999996</v>
      </c>
      <c r="L95" s="492"/>
      <c r="M95" s="492">
        <v>4112.8999999999996</v>
      </c>
      <c r="N95" s="492"/>
      <c r="O95" s="204">
        <v>4112.8999999999996</v>
      </c>
      <c r="P95" s="492">
        <v>0</v>
      </c>
      <c r="Q95" s="492"/>
      <c r="R95" s="492">
        <v>0</v>
      </c>
      <c r="S95" s="492"/>
      <c r="T95" s="204">
        <v>0</v>
      </c>
    </row>
    <row r="96" spans="1:20">
      <c r="A96" s="495" t="s">
        <v>583</v>
      </c>
      <c r="B96" s="495"/>
      <c r="C96" s="495"/>
      <c r="D96" s="495"/>
      <c r="E96" s="495"/>
      <c r="F96" s="495"/>
      <c r="G96" s="495"/>
      <c r="H96" s="495"/>
      <c r="I96" s="495"/>
      <c r="J96" s="495"/>
      <c r="K96" s="495"/>
      <c r="L96" s="495"/>
      <c r="M96" s="495"/>
      <c r="N96" s="495"/>
      <c r="O96" s="495"/>
      <c r="P96" s="495"/>
      <c r="Q96" s="495"/>
      <c r="R96" s="495"/>
      <c r="S96" s="495"/>
      <c r="T96" s="495"/>
    </row>
    <row r="97" spans="1:20">
      <c r="A97" s="205"/>
      <c r="B97" s="206">
        <v>4112.8999999999996</v>
      </c>
      <c r="C97" s="493">
        <v>4112.8999999999996</v>
      </c>
      <c r="D97" s="493"/>
      <c r="E97" s="493"/>
      <c r="F97" s="493">
        <v>4112.8999999999996</v>
      </c>
      <c r="G97" s="493"/>
      <c r="H97" s="493"/>
      <c r="I97" s="493">
        <v>4112.8999999999996</v>
      </c>
      <c r="J97" s="493"/>
      <c r="K97" s="493">
        <v>4112.8999999999996</v>
      </c>
      <c r="L97" s="493"/>
      <c r="M97" s="493">
        <v>4112.8999999999996</v>
      </c>
      <c r="N97" s="493"/>
      <c r="O97" s="206">
        <v>4112.8999999999996</v>
      </c>
      <c r="P97" s="493">
        <v>0</v>
      </c>
      <c r="Q97" s="493"/>
      <c r="R97" s="493">
        <v>0</v>
      </c>
      <c r="S97" s="493"/>
      <c r="T97" s="206">
        <v>0</v>
      </c>
    </row>
    <row r="98" spans="1:20">
      <c r="A98" s="471" t="s">
        <v>586</v>
      </c>
      <c r="B98" s="471"/>
      <c r="C98" s="471"/>
      <c r="D98" s="471"/>
      <c r="E98" s="471"/>
      <c r="F98" s="471"/>
      <c r="G98" s="471"/>
      <c r="H98" s="471"/>
      <c r="I98" s="471"/>
      <c r="J98" s="471"/>
      <c r="K98" s="471"/>
      <c r="L98" s="471"/>
      <c r="M98" s="471"/>
      <c r="N98" s="471"/>
      <c r="O98" s="471"/>
      <c r="P98" s="471"/>
      <c r="Q98" s="471"/>
      <c r="R98" s="471"/>
      <c r="S98" s="471"/>
      <c r="T98" s="471"/>
    </row>
    <row r="99" spans="1:20">
      <c r="A99" s="203"/>
      <c r="B99" s="204">
        <v>16016</v>
      </c>
      <c r="C99" s="492">
        <v>2424</v>
      </c>
      <c r="D99" s="492"/>
      <c r="E99" s="492"/>
      <c r="F99" s="492">
        <v>2424</v>
      </c>
      <c r="G99" s="492"/>
      <c r="H99" s="492"/>
      <c r="I99" s="492">
        <v>2424</v>
      </c>
      <c r="J99" s="492"/>
      <c r="K99" s="492">
        <v>2424</v>
      </c>
      <c r="L99" s="492"/>
      <c r="M99" s="492">
        <v>2424</v>
      </c>
      <c r="N99" s="492"/>
      <c r="O99" s="204">
        <v>2424</v>
      </c>
      <c r="P99" s="492">
        <v>13592</v>
      </c>
      <c r="Q99" s="492"/>
      <c r="R99" s="492">
        <v>0</v>
      </c>
      <c r="S99" s="492"/>
      <c r="T99" s="204">
        <v>0</v>
      </c>
    </row>
    <row r="100" spans="1:20">
      <c r="A100" s="474" t="s">
        <v>591</v>
      </c>
      <c r="B100" s="474"/>
      <c r="C100" s="474"/>
      <c r="D100" s="474"/>
      <c r="E100" s="474"/>
      <c r="F100" s="474"/>
      <c r="G100" s="474"/>
      <c r="H100" s="474"/>
      <c r="I100" s="474"/>
      <c r="J100" s="474"/>
      <c r="K100" s="474"/>
      <c r="L100" s="474"/>
      <c r="M100" s="474"/>
      <c r="N100" s="474"/>
      <c r="O100" s="474"/>
      <c r="P100" s="474"/>
      <c r="Q100" s="474"/>
      <c r="R100" s="474"/>
      <c r="S100" s="474"/>
      <c r="T100" s="474"/>
    </row>
    <row r="101" spans="1:20">
      <c r="A101" s="205"/>
      <c r="B101" s="206">
        <v>2400</v>
      </c>
      <c r="C101" s="493">
        <v>1222.48</v>
      </c>
      <c r="D101" s="493"/>
      <c r="E101" s="493"/>
      <c r="F101" s="493">
        <v>1222.48</v>
      </c>
      <c r="G101" s="493"/>
      <c r="H101" s="493"/>
      <c r="I101" s="493">
        <v>1222.48</v>
      </c>
      <c r="J101" s="493"/>
      <c r="K101" s="493">
        <v>1222.48</v>
      </c>
      <c r="L101" s="493"/>
      <c r="M101" s="493">
        <v>1222.48</v>
      </c>
      <c r="N101" s="493"/>
      <c r="O101" s="206">
        <v>1222.48</v>
      </c>
      <c r="P101" s="493">
        <v>1177.52</v>
      </c>
      <c r="Q101" s="493"/>
      <c r="R101" s="493">
        <v>0</v>
      </c>
      <c r="S101" s="493"/>
      <c r="T101" s="206">
        <v>0</v>
      </c>
    </row>
    <row r="102" spans="1:20">
      <c r="A102" s="494" t="s">
        <v>592</v>
      </c>
      <c r="B102" s="494"/>
      <c r="C102" s="494"/>
      <c r="D102" s="494"/>
      <c r="E102" s="494"/>
      <c r="F102" s="494"/>
      <c r="G102" s="494"/>
      <c r="H102" s="494"/>
      <c r="I102" s="494"/>
      <c r="J102" s="494"/>
      <c r="K102" s="494"/>
      <c r="L102" s="494"/>
      <c r="M102" s="494"/>
      <c r="N102" s="494"/>
      <c r="O102" s="494"/>
      <c r="P102" s="494"/>
      <c r="Q102" s="494"/>
      <c r="R102" s="494"/>
      <c r="S102" s="494"/>
      <c r="T102" s="494"/>
    </row>
    <row r="103" spans="1:20">
      <c r="A103" s="203"/>
      <c r="B103" s="204">
        <v>2400</v>
      </c>
      <c r="C103" s="492">
        <v>1222.48</v>
      </c>
      <c r="D103" s="492"/>
      <c r="E103" s="492"/>
      <c r="F103" s="492">
        <v>1222.48</v>
      </c>
      <c r="G103" s="492"/>
      <c r="H103" s="492"/>
      <c r="I103" s="492">
        <v>1222.48</v>
      </c>
      <c r="J103" s="492"/>
      <c r="K103" s="492">
        <v>1222.48</v>
      </c>
      <c r="L103" s="492"/>
      <c r="M103" s="492">
        <v>1222.48</v>
      </c>
      <c r="N103" s="492"/>
      <c r="O103" s="204">
        <v>1222.48</v>
      </c>
      <c r="P103" s="492">
        <v>1177.52</v>
      </c>
      <c r="Q103" s="492"/>
      <c r="R103" s="492">
        <v>0</v>
      </c>
      <c r="S103" s="492"/>
      <c r="T103" s="204">
        <v>0</v>
      </c>
    </row>
    <row r="104" spans="1:20">
      <c r="A104" s="474" t="s">
        <v>593</v>
      </c>
      <c r="B104" s="474"/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</row>
    <row r="105" spans="1:20">
      <c r="A105" s="205"/>
      <c r="B105" s="206">
        <v>13616</v>
      </c>
      <c r="C105" s="493">
        <v>1201.52</v>
      </c>
      <c r="D105" s="493"/>
      <c r="E105" s="493"/>
      <c r="F105" s="493">
        <v>1201.52</v>
      </c>
      <c r="G105" s="493"/>
      <c r="H105" s="493"/>
      <c r="I105" s="493">
        <v>1201.52</v>
      </c>
      <c r="J105" s="493"/>
      <c r="K105" s="493">
        <v>1201.52</v>
      </c>
      <c r="L105" s="493"/>
      <c r="M105" s="493">
        <v>1201.52</v>
      </c>
      <c r="N105" s="493"/>
      <c r="O105" s="206">
        <v>1201.52</v>
      </c>
      <c r="P105" s="493">
        <v>12414.48</v>
      </c>
      <c r="Q105" s="493"/>
      <c r="R105" s="493">
        <v>0</v>
      </c>
      <c r="S105" s="493"/>
      <c r="T105" s="206">
        <v>0</v>
      </c>
    </row>
    <row r="106" spans="1:20">
      <c r="A106" s="494" t="s">
        <v>598</v>
      </c>
      <c r="B106" s="494"/>
      <c r="C106" s="494"/>
      <c r="D106" s="494"/>
      <c r="E106" s="494"/>
      <c r="F106" s="494"/>
      <c r="G106" s="494"/>
      <c r="H106" s="494"/>
      <c r="I106" s="494"/>
      <c r="J106" s="494"/>
      <c r="K106" s="494"/>
      <c r="L106" s="494"/>
      <c r="M106" s="494"/>
      <c r="N106" s="494"/>
      <c r="O106" s="494"/>
      <c r="P106" s="494"/>
      <c r="Q106" s="494"/>
      <c r="R106" s="494"/>
      <c r="S106" s="494"/>
      <c r="T106" s="494"/>
    </row>
    <row r="107" spans="1:20">
      <c r="A107" s="203"/>
      <c r="B107" s="204">
        <v>6616</v>
      </c>
      <c r="C107" s="492">
        <v>0</v>
      </c>
      <c r="D107" s="492"/>
      <c r="E107" s="492"/>
      <c r="F107" s="492">
        <v>0</v>
      </c>
      <c r="G107" s="492"/>
      <c r="H107" s="492"/>
      <c r="I107" s="492">
        <v>0</v>
      </c>
      <c r="J107" s="492"/>
      <c r="K107" s="492">
        <v>0</v>
      </c>
      <c r="L107" s="492"/>
      <c r="M107" s="492">
        <v>0</v>
      </c>
      <c r="N107" s="492"/>
      <c r="O107" s="204">
        <v>0</v>
      </c>
      <c r="P107" s="492">
        <v>6616</v>
      </c>
      <c r="Q107" s="492"/>
      <c r="R107" s="492">
        <v>0</v>
      </c>
      <c r="S107" s="492"/>
      <c r="T107" s="204">
        <v>0</v>
      </c>
    </row>
    <row r="108" spans="1:20">
      <c r="A108" s="495" t="s">
        <v>605</v>
      </c>
      <c r="B108" s="495"/>
      <c r="C108" s="495"/>
      <c r="D108" s="495"/>
      <c r="E108" s="495"/>
      <c r="F108" s="495"/>
      <c r="G108" s="495"/>
      <c r="H108" s="495"/>
      <c r="I108" s="495"/>
      <c r="J108" s="495"/>
      <c r="K108" s="495"/>
      <c r="L108" s="495"/>
      <c r="M108" s="495"/>
      <c r="N108" s="495"/>
      <c r="O108" s="495"/>
      <c r="P108" s="495"/>
      <c r="Q108" s="495"/>
      <c r="R108" s="495"/>
      <c r="S108" s="495"/>
      <c r="T108" s="495"/>
    </row>
    <row r="109" spans="1:20">
      <c r="A109" s="205"/>
      <c r="B109" s="206">
        <v>4000</v>
      </c>
      <c r="C109" s="493">
        <v>0</v>
      </c>
      <c r="D109" s="493"/>
      <c r="E109" s="493"/>
      <c r="F109" s="493">
        <v>0</v>
      </c>
      <c r="G109" s="493"/>
      <c r="H109" s="493"/>
      <c r="I109" s="493">
        <v>0</v>
      </c>
      <c r="J109" s="493"/>
      <c r="K109" s="493">
        <v>0</v>
      </c>
      <c r="L109" s="493"/>
      <c r="M109" s="493">
        <v>0</v>
      </c>
      <c r="N109" s="493"/>
      <c r="O109" s="206">
        <v>0</v>
      </c>
      <c r="P109" s="493">
        <v>4000</v>
      </c>
      <c r="Q109" s="493"/>
      <c r="R109" s="493">
        <v>0</v>
      </c>
      <c r="S109" s="493"/>
      <c r="T109" s="206">
        <v>0</v>
      </c>
    </row>
    <row r="110" spans="1:20">
      <c r="A110" s="494" t="s">
        <v>606</v>
      </c>
      <c r="B110" s="494"/>
      <c r="C110" s="494"/>
      <c r="D110" s="494"/>
      <c r="E110" s="494"/>
      <c r="F110" s="494"/>
      <c r="G110" s="494"/>
      <c r="H110" s="494"/>
      <c r="I110" s="494"/>
      <c r="J110" s="494"/>
      <c r="K110" s="494"/>
      <c r="L110" s="494"/>
      <c r="M110" s="494"/>
      <c r="N110" s="494"/>
      <c r="O110" s="494"/>
      <c r="P110" s="494"/>
      <c r="Q110" s="494"/>
      <c r="R110" s="494"/>
      <c r="S110" s="494"/>
      <c r="T110" s="494"/>
    </row>
    <row r="111" spans="1:20">
      <c r="A111" s="203"/>
      <c r="B111" s="204">
        <v>3000</v>
      </c>
      <c r="C111" s="492">
        <v>1201.52</v>
      </c>
      <c r="D111" s="492"/>
      <c r="E111" s="492"/>
      <c r="F111" s="492">
        <v>1201.52</v>
      </c>
      <c r="G111" s="492"/>
      <c r="H111" s="492"/>
      <c r="I111" s="492">
        <v>1201.52</v>
      </c>
      <c r="J111" s="492"/>
      <c r="K111" s="492">
        <v>1201.52</v>
      </c>
      <c r="L111" s="492"/>
      <c r="M111" s="492">
        <v>1201.52</v>
      </c>
      <c r="N111" s="492"/>
      <c r="O111" s="204">
        <v>1201.52</v>
      </c>
      <c r="P111" s="492">
        <v>1798.48</v>
      </c>
      <c r="Q111" s="492"/>
      <c r="R111" s="492">
        <v>0</v>
      </c>
      <c r="S111" s="492"/>
      <c r="T111" s="204">
        <v>0</v>
      </c>
    </row>
    <row r="112" spans="1:20">
      <c r="A112" s="495" t="s">
        <v>612</v>
      </c>
      <c r="B112" s="495"/>
      <c r="C112" s="495"/>
      <c r="D112" s="495"/>
      <c r="E112" s="495"/>
      <c r="F112" s="495"/>
      <c r="G112" s="495"/>
      <c r="H112" s="495"/>
      <c r="I112" s="495"/>
      <c r="J112" s="495"/>
      <c r="K112" s="495"/>
      <c r="L112" s="495"/>
      <c r="M112" s="495"/>
      <c r="N112" s="495"/>
      <c r="O112" s="495"/>
      <c r="P112" s="495"/>
      <c r="Q112" s="495"/>
      <c r="R112" s="495"/>
      <c r="S112" s="495"/>
      <c r="T112" s="495"/>
    </row>
    <row r="113" spans="1:20">
      <c r="A113" s="205"/>
      <c r="B113" s="206">
        <v>27175</v>
      </c>
      <c r="C113" s="493">
        <v>0</v>
      </c>
      <c r="D113" s="493"/>
      <c r="E113" s="493"/>
      <c r="F113" s="493">
        <v>0</v>
      </c>
      <c r="G113" s="493"/>
      <c r="H113" s="493"/>
      <c r="I113" s="493">
        <v>0</v>
      </c>
      <c r="J113" s="493"/>
      <c r="K113" s="493">
        <v>0</v>
      </c>
      <c r="L113" s="493"/>
      <c r="M113" s="493">
        <v>0</v>
      </c>
      <c r="N113" s="493"/>
      <c r="O113" s="206">
        <v>0</v>
      </c>
      <c r="P113" s="493">
        <v>27175</v>
      </c>
      <c r="Q113" s="493"/>
      <c r="R113" s="493">
        <v>0</v>
      </c>
      <c r="S113" s="493"/>
      <c r="T113" s="206">
        <v>0</v>
      </c>
    </row>
    <row r="114" spans="1:20">
      <c r="A114" s="471" t="s">
        <v>551</v>
      </c>
      <c r="B114" s="471"/>
      <c r="C114" s="471"/>
      <c r="D114" s="471"/>
      <c r="E114" s="471"/>
      <c r="F114" s="471"/>
      <c r="G114" s="471"/>
      <c r="H114" s="471"/>
      <c r="I114" s="471"/>
      <c r="J114" s="471"/>
      <c r="K114" s="471"/>
      <c r="L114" s="471"/>
      <c r="M114" s="471"/>
      <c r="N114" s="471"/>
      <c r="O114" s="471"/>
      <c r="P114" s="471"/>
      <c r="Q114" s="471"/>
      <c r="R114" s="471"/>
      <c r="S114" s="471"/>
      <c r="T114" s="471"/>
    </row>
    <row r="115" spans="1:20">
      <c r="A115" s="203"/>
      <c r="B115" s="204">
        <v>27175</v>
      </c>
      <c r="C115" s="492">
        <v>0</v>
      </c>
      <c r="D115" s="492"/>
      <c r="E115" s="492"/>
      <c r="F115" s="492">
        <v>0</v>
      </c>
      <c r="G115" s="492"/>
      <c r="H115" s="492"/>
      <c r="I115" s="492">
        <v>0</v>
      </c>
      <c r="J115" s="492"/>
      <c r="K115" s="492">
        <v>0</v>
      </c>
      <c r="L115" s="492"/>
      <c r="M115" s="492">
        <v>0</v>
      </c>
      <c r="N115" s="492"/>
      <c r="O115" s="204">
        <v>0</v>
      </c>
      <c r="P115" s="492">
        <v>27175</v>
      </c>
      <c r="Q115" s="492"/>
      <c r="R115" s="492">
        <v>0</v>
      </c>
      <c r="S115" s="492"/>
      <c r="T115" s="204">
        <v>0</v>
      </c>
    </row>
    <row r="116" spans="1:20">
      <c r="A116" s="474" t="s">
        <v>586</v>
      </c>
      <c r="B116" s="474"/>
      <c r="C116" s="474"/>
      <c r="D116" s="474"/>
      <c r="E116" s="474"/>
      <c r="F116" s="474"/>
      <c r="G116" s="474"/>
      <c r="H116" s="474"/>
      <c r="I116" s="474"/>
      <c r="J116" s="474"/>
      <c r="K116" s="474"/>
      <c r="L116" s="474"/>
      <c r="M116" s="474"/>
      <c r="N116" s="474"/>
      <c r="O116" s="474"/>
      <c r="P116" s="474"/>
      <c r="Q116" s="474"/>
      <c r="R116" s="474"/>
      <c r="S116" s="474"/>
      <c r="T116" s="474"/>
    </row>
    <row r="117" spans="1:20">
      <c r="A117" s="205"/>
      <c r="B117" s="206">
        <v>27175</v>
      </c>
      <c r="C117" s="493">
        <v>0</v>
      </c>
      <c r="D117" s="493"/>
      <c r="E117" s="493"/>
      <c r="F117" s="493">
        <v>0</v>
      </c>
      <c r="G117" s="493"/>
      <c r="H117" s="493"/>
      <c r="I117" s="493">
        <v>0</v>
      </c>
      <c r="J117" s="493"/>
      <c r="K117" s="493">
        <v>0</v>
      </c>
      <c r="L117" s="493"/>
      <c r="M117" s="493">
        <v>0</v>
      </c>
      <c r="N117" s="493"/>
      <c r="O117" s="206">
        <v>0</v>
      </c>
      <c r="P117" s="493">
        <v>27175</v>
      </c>
      <c r="Q117" s="493"/>
      <c r="R117" s="493">
        <v>0</v>
      </c>
      <c r="S117" s="493"/>
      <c r="T117" s="206">
        <v>0</v>
      </c>
    </row>
    <row r="118" spans="1:20">
      <c r="A118" s="471" t="s">
        <v>593</v>
      </c>
      <c r="B118" s="471"/>
      <c r="C118" s="471"/>
      <c r="D118" s="471"/>
      <c r="E118" s="471"/>
      <c r="F118" s="471"/>
      <c r="G118" s="471"/>
      <c r="H118" s="471"/>
      <c r="I118" s="471"/>
      <c r="J118" s="471"/>
      <c r="K118" s="471"/>
      <c r="L118" s="471"/>
      <c r="M118" s="471"/>
      <c r="N118" s="471"/>
      <c r="O118" s="471"/>
      <c r="P118" s="471"/>
      <c r="Q118" s="471"/>
      <c r="R118" s="471"/>
      <c r="S118" s="471"/>
      <c r="T118" s="471"/>
    </row>
    <row r="119" spans="1:20">
      <c r="A119" s="203"/>
      <c r="B119" s="204">
        <v>27175</v>
      </c>
      <c r="C119" s="492">
        <v>0</v>
      </c>
      <c r="D119" s="492"/>
      <c r="E119" s="492"/>
      <c r="F119" s="492">
        <v>0</v>
      </c>
      <c r="G119" s="492"/>
      <c r="H119" s="492"/>
      <c r="I119" s="492">
        <v>0</v>
      </c>
      <c r="J119" s="492"/>
      <c r="K119" s="492">
        <v>0</v>
      </c>
      <c r="L119" s="492"/>
      <c r="M119" s="492">
        <v>0</v>
      </c>
      <c r="N119" s="492"/>
      <c r="O119" s="204">
        <v>0</v>
      </c>
      <c r="P119" s="492">
        <v>27175</v>
      </c>
      <c r="Q119" s="492"/>
      <c r="R119" s="492">
        <v>0</v>
      </c>
      <c r="S119" s="492"/>
      <c r="T119" s="204">
        <v>0</v>
      </c>
    </row>
    <row r="120" spans="1:20">
      <c r="A120" s="495" t="s">
        <v>610</v>
      </c>
      <c r="B120" s="495"/>
      <c r="C120" s="495"/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</row>
    <row r="121" spans="1:20">
      <c r="A121" s="205"/>
      <c r="B121" s="206">
        <v>27175</v>
      </c>
      <c r="C121" s="493">
        <v>0</v>
      </c>
      <c r="D121" s="493"/>
      <c r="E121" s="493"/>
      <c r="F121" s="493">
        <v>0</v>
      </c>
      <c r="G121" s="493"/>
      <c r="H121" s="493"/>
      <c r="I121" s="493">
        <v>0</v>
      </c>
      <c r="J121" s="493"/>
      <c r="K121" s="493">
        <v>0</v>
      </c>
      <c r="L121" s="493"/>
      <c r="M121" s="493">
        <v>0</v>
      </c>
      <c r="N121" s="493"/>
      <c r="O121" s="206">
        <v>0</v>
      </c>
      <c r="P121" s="493">
        <v>27175</v>
      </c>
      <c r="Q121" s="493"/>
      <c r="R121" s="493">
        <v>0</v>
      </c>
      <c r="S121" s="493"/>
      <c r="T121" s="206">
        <v>0</v>
      </c>
    </row>
    <row r="122" spans="1:20">
      <c r="A122" s="494" t="s">
        <v>613</v>
      </c>
      <c r="B122" s="494"/>
      <c r="C122" s="494"/>
      <c r="D122" s="494"/>
      <c r="E122" s="494"/>
      <c r="F122" s="494"/>
      <c r="G122" s="494"/>
      <c r="H122" s="494"/>
      <c r="I122" s="494"/>
      <c r="J122" s="494"/>
      <c r="K122" s="494"/>
      <c r="L122" s="494"/>
      <c r="M122" s="494"/>
      <c r="N122" s="494"/>
      <c r="O122" s="494"/>
      <c r="P122" s="494"/>
      <c r="Q122" s="494"/>
      <c r="R122" s="494"/>
      <c r="S122" s="494"/>
      <c r="T122" s="494"/>
    </row>
    <row r="123" spans="1:20">
      <c r="A123" s="203"/>
      <c r="B123" s="204">
        <v>5000</v>
      </c>
      <c r="C123" s="492">
        <v>0</v>
      </c>
      <c r="D123" s="492"/>
      <c r="E123" s="492"/>
      <c r="F123" s="492">
        <v>0</v>
      </c>
      <c r="G123" s="492"/>
      <c r="H123" s="492"/>
      <c r="I123" s="492">
        <v>0</v>
      </c>
      <c r="J123" s="492"/>
      <c r="K123" s="492">
        <v>0</v>
      </c>
      <c r="L123" s="492"/>
      <c r="M123" s="492">
        <v>0</v>
      </c>
      <c r="N123" s="492"/>
      <c r="O123" s="204">
        <v>0</v>
      </c>
      <c r="P123" s="492">
        <v>5000</v>
      </c>
      <c r="Q123" s="492"/>
      <c r="R123" s="492">
        <v>0</v>
      </c>
      <c r="S123" s="492"/>
      <c r="T123" s="204">
        <v>0</v>
      </c>
    </row>
    <row r="124" spans="1:20">
      <c r="A124" s="471" t="s">
        <v>551</v>
      </c>
      <c r="B124" s="471"/>
      <c r="C124" s="471"/>
      <c r="D124" s="471"/>
      <c r="E124" s="471"/>
      <c r="F124" s="471"/>
      <c r="G124" s="471"/>
      <c r="H124" s="471"/>
      <c r="I124" s="471"/>
      <c r="J124" s="471"/>
      <c r="K124" s="471"/>
      <c r="L124" s="471"/>
      <c r="M124" s="471"/>
      <c r="N124" s="471"/>
      <c r="O124" s="471"/>
      <c r="P124" s="471"/>
      <c r="Q124" s="471"/>
      <c r="R124" s="471"/>
      <c r="S124" s="471"/>
      <c r="T124" s="471"/>
    </row>
    <row r="125" spans="1:20">
      <c r="A125" s="203"/>
      <c r="B125" s="204">
        <v>5000</v>
      </c>
      <c r="C125" s="492">
        <v>0</v>
      </c>
      <c r="D125" s="492"/>
      <c r="E125" s="492"/>
      <c r="F125" s="492">
        <v>0</v>
      </c>
      <c r="G125" s="492"/>
      <c r="H125" s="492"/>
      <c r="I125" s="492">
        <v>0</v>
      </c>
      <c r="J125" s="492"/>
      <c r="K125" s="492">
        <v>0</v>
      </c>
      <c r="L125" s="492"/>
      <c r="M125" s="492">
        <v>0</v>
      </c>
      <c r="N125" s="492"/>
      <c r="O125" s="204">
        <v>0</v>
      </c>
      <c r="P125" s="492">
        <v>5000</v>
      </c>
      <c r="Q125" s="492"/>
      <c r="R125" s="492">
        <v>0</v>
      </c>
      <c r="S125" s="492"/>
      <c r="T125" s="204">
        <v>0</v>
      </c>
    </row>
    <row r="126" spans="1:20">
      <c r="A126" s="474" t="s">
        <v>586</v>
      </c>
      <c r="B126" s="474"/>
      <c r="C126" s="474"/>
      <c r="D126" s="474"/>
      <c r="E126" s="474"/>
      <c r="F126" s="474"/>
      <c r="G126" s="474"/>
      <c r="H126" s="474"/>
      <c r="I126" s="474"/>
      <c r="J126" s="474"/>
      <c r="K126" s="474"/>
      <c r="L126" s="474"/>
      <c r="M126" s="474"/>
      <c r="N126" s="474"/>
      <c r="O126" s="474"/>
      <c r="P126" s="474"/>
      <c r="Q126" s="474"/>
      <c r="R126" s="474"/>
      <c r="S126" s="474"/>
      <c r="T126" s="474"/>
    </row>
    <row r="127" spans="1:20">
      <c r="A127" s="205"/>
      <c r="B127" s="206">
        <v>5000</v>
      </c>
      <c r="C127" s="493">
        <v>0</v>
      </c>
      <c r="D127" s="493"/>
      <c r="E127" s="493"/>
      <c r="F127" s="493">
        <v>0</v>
      </c>
      <c r="G127" s="493"/>
      <c r="H127" s="493"/>
      <c r="I127" s="493">
        <v>0</v>
      </c>
      <c r="J127" s="493"/>
      <c r="K127" s="493">
        <v>0</v>
      </c>
      <c r="L127" s="493"/>
      <c r="M127" s="493">
        <v>0</v>
      </c>
      <c r="N127" s="493"/>
      <c r="O127" s="206">
        <v>0</v>
      </c>
      <c r="P127" s="493">
        <v>5000</v>
      </c>
      <c r="Q127" s="493"/>
      <c r="R127" s="493">
        <v>0</v>
      </c>
      <c r="S127" s="493"/>
      <c r="T127" s="206">
        <v>0</v>
      </c>
    </row>
    <row r="128" spans="1:20">
      <c r="A128" s="471" t="s">
        <v>593</v>
      </c>
      <c r="B128" s="471"/>
      <c r="C128" s="471"/>
      <c r="D128" s="471"/>
      <c r="E128" s="471"/>
      <c r="F128" s="471"/>
      <c r="G128" s="471"/>
      <c r="H128" s="471"/>
      <c r="I128" s="471"/>
      <c r="J128" s="471"/>
      <c r="K128" s="471"/>
      <c r="L128" s="471"/>
      <c r="M128" s="471"/>
      <c r="N128" s="471"/>
      <c r="O128" s="471"/>
      <c r="P128" s="471"/>
      <c r="Q128" s="471"/>
      <c r="R128" s="471"/>
      <c r="S128" s="471"/>
      <c r="T128" s="471"/>
    </row>
    <row r="129" spans="1:20">
      <c r="A129" s="203"/>
      <c r="B129" s="204">
        <v>5000</v>
      </c>
      <c r="C129" s="492">
        <v>0</v>
      </c>
      <c r="D129" s="492"/>
      <c r="E129" s="492"/>
      <c r="F129" s="492">
        <v>0</v>
      </c>
      <c r="G129" s="492"/>
      <c r="H129" s="492"/>
      <c r="I129" s="492">
        <v>0</v>
      </c>
      <c r="J129" s="492"/>
      <c r="K129" s="492">
        <v>0</v>
      </c>
      <c r="L129" s="492"/>
      <c r="M129" s="492">
        <v>0</v>
      </c>
      <c r="N129" s="492"/>
      <c r="O129" s="204">
        <v>0</v>
      </c>
      <c r="P129" s="492">
        <v>5000</v>
      </c>
      <c r="Q129" s="492"/>
      <c r="R129" s="492">
        <v>0</v>
      </c>
      <c r="S129" s="492"/>
      <c r="T129" s="204">
        <v>0</v>
      </c>
    </row>
    <row r="130" spans="1:20">
      <c r="A130" s="495" t="s">
        <v>610</v>
      </c>
      <c r="B130" s="495"/>
      <c r="C130" s="495"/>
      <c r="D130" s="495"/>
      <c r="E130" s="495"/>
      <c r="F130" s="495"/>
      <c r="G130" s="495"/>
      <c r="H130" s="495"/>
      <c r="I130" s="495"/>
      <c r="J130" s="495"/>
      <c r="K130" s="495"/>
      <c r="L130" s="495"/>
      <c r="M130" s="495"/>
      <c r="N130" s="495"/>
      <c r="O130" s="495"/>
      <c r="P130" s="495"/>
      <c r="Q130" s="495"/>
      <c r="R130" s="495"/>
      <c r="S130" s="495"/>
      <c r="T130" s="495"/>
    </row>
    <row r="131" spans="1:20">
      <c r="A131" s="205"/>
      <c r="B131" s="206">
        <v>5000</v>
      </c>
      <c r="C131" s="493">
        <v>0</v>
      </c>
      <c r="D131" s="493"/>
      <c r="E131" s="493"/>
      <c r="F131" s="493">
        <v>0</v>
      </c>
      <c r="G131" s="493"/>
      <c r="H131" s="493"/>
      <c r="I131" s="493">
        <v>0</v>
      </c>
      <c r="J131" s="493"/>
      <c r="K131" s="493">
        <v>0</v>
      </c>
      <c r="L131" s="493"/>
      <c r="M131" s="493">
        <v>0</v>
      </c>
      <c r="N131" s="493"/>
      <c r="O131" s="206">
        <v>0</v>
      </c>
      <c r="P131" s="493">
        <v>5000</v>
      </c>
      <c r="Q131" s="493"/>
      <c r="R131" s="493">
        <v>0</v>
      </c>
      <c r="S131" s="493"/>
      <c r="T131" s="206">
        <v>0</v>
      </c>
    </row>
    <row r="132" spans="1:20">
      <c r="A132" s="495" t="s">
        <v>590</v>
      </c>
      <c r="B132" s="495"/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</row>
    <row r="133" spans="1:20">
      <c r="A133" s="205"/>
      <c r="B133" s="206">
        <v>19250</v>
      </c>
      <c r="C133" s="493">
        <v>19250</v>
      </c>
      <c r="D133" s="493"/>
      <c r="E133" s="493"/>
      <c r="F133" s="493">
        <v>19250</v>
      </c>
      <c r="G133" s="493"/>
      <c r="H133" s="493"/>
      <c r="I133" s="493">
        <v>19250</v>
      </c>
      <c r="J133" s="493"/>
      <c r="K133" s="493">
        <v>19250</v>
      </c>
      <c r="L133" s="493"/>
      <c r="M133" s="493">
        <v>19250</v>
      </c>
      <c r="N133" s="493"/>
      <c r="O133" s="206">
        <v>19250</v>
      </c>
      <c r="P133" s="493">
        <v>0</v>
      </c>
      <c r="Q133" s="493"/>
      <c r="R133" s="493">
        <v>0</v>
      </c>
      <c r="S133" s="493"/>
      <c r="T133" s="206">
        <v>0</v>
      </c>
    </row>
    <row r="134" spans="1:20">
      <c r="A134" s="471" t="s">
        <v>551</v>
      </c>
      <c r="B134" s="471"/>
      <c r="C134" s="471"/>
      <c r="D134" s="471"/>
      <c r="E134" s="471"/>
      <c r="F134" s="471"/>
      <c r="G134" s="471"/>
      <c r="H134" s="471"/>
      <c r="I134" s="471"/>
      <c r="J134" s="471"/>
      <c r="K134" s="471"/>
      <c r="L134" s="471"/>
      <c r="M134" s="471"/>
      <c r="N134" s="471"/>
      <c r="O134" s="471"/>
      <c r="P134" s="471"/>
      <c r="Q134" s="471"/>
      <c r="R134" s="471"/>
      <c r="S134" s="471"/>
      <c r="T134" s="471"/>
    </row>
    <row r="135" spans="1:20">
      <c r="A135" s="203"/>
      <c r="B135" s="204">
        <v>19250</v>
      </c>
      <c r="C135" s="492">
        <v>19250</v>
      </c>
      <c r="D135" s="492"/>
      <c r="E135" s="492"/>
      <c r="F135" s="492">
        <v>19250</v>
      </c>
      <c r="G135" s="492"/>
      <c r="H135" s="492"/>
      <c r="I135" s="492">
        <v>19250</v>
      </c>
      <c r="J135" s="492"/>
      <c r="K135" s="492">
        <v>19250</v>
      </c>
      <c r="L135" s="492"/>
      <c r="M135" s="492">
        <v>19250</v>
      </c>
      <c r="N135" s="492"/>
      <c r="O135" s="204">
        <v>19250</v>
      </c>
      <c r="P135" s="492">
        <v>0</v>
      </c>
      <c r="Q135" s="492"/>
      <c r="R135" s="492">
        <v>0</v>
      </c>
      <c r="S135" s="492"/>
      <c r="T135" s="204">
        <v>0</v>
      </c>
    </row>
    <row r="136" spans="1:20">
      <c r="A136" s="474" t="s">
        <v>586</v>
      </c>
      <c r="B136" s="474"/>
      <c r="C136" s="474"/>
      <c r="D136" s="474"/>
      <c r="E136" s="474"/>
      <c r="F136" s="474"/>
      <c r="G136" s="474"/>
      <c r="H136" s="474"/>
      <c r="I136" s="474"/>
      <c r="J136" s="474"/>
      <c r="K136" s="474"/>
      <c r="L136" s="474"/>
      <c r="M136" s="474"/>
      <c r="N136" s="474"/>
      <c r="O136" s="474"/>
      <c r="P136" s="474"/>
      <c r="Q136" s="474"/>
      <c r="R136" s="474"/>
      <c r="S136" s="474"/>
      <c r="T136" s="474"/>
    </row>
    <row r="137" spans="1:20">
      <c r="A137" s="205"/>
      <c r="B137" s="206">
        <v>19250</v>
      </c>
      <c r="C137" s="493">
        <v>19250</v>
      </c>
      <c r="D137" s="493"/>
      <c r="E137" s="493"/>
      <c r="F137" s="493">
        <v>19250</v>
      </c>
      <c r="G137" s="493"/>
      <c r="H137" s="493"/>
      <c r="I137" s="493">
        <v>19250</v>
      </c>
      <c r="J137" s="493"/>
      <c r="K137" s="493">
        <v>19250</v>
      </c>
      <c r="L137" s="493"/>
      <c r="M137" s="493">
        <v>19250</v>
      </c>
      <c r="N137" s="493"/>
      <c r="O137" s="206">
        <v>19250</v>
      </c>
      <c r="P137" s="493">
        <v>0</v>
      </c>
      <c r="Q137" s="493"/>
      <c r="R137" s="493">
        <v>0</v>
      </c>
      <c r="S137" s="493"/>
      <c r="T137" s="206">
        <v>0</v>
      </c>
    </row>
    <row r="138" spans="1:20">
      <c r="A138" s="471" t="s">
        <v>587</v>
      </c>
      <c r="B138" s="471"/>
      <c r="C138" s="471"/>
      <c r="D138" s="471"/>
      <c r="E138" s="471"/>
      <c r="F138" s="471"/>
      <c r="G138" s="471"/>
      <c r="H138" s="471"/>
      <c r="I138" s="471"/>
      <c r="J138" s="471"/>
      <c r="K138" s="471"/>
      <c r="L138" s="471"/>
      <c r="M138" s="471"/>
      <c r="N138" s="471"/>
      <c r="O138" s="471"/>
      <c r="P138" s="471"/>
      <c r="Q138" s="471"/>
      <c r="R138" s="471"/>
      <c r="S138" s="471"/>
      <c r="T138" s="471"/>
    </row>
    <row r="139" spans="1:20">
      <c r="A139" s="203"/>
      <c r="B139" s="204">
        <v>18060</v>
      </c>
      <c r="C139" s="492">
        <v>18060</v>
      </c>
      <c r="D139" s="492"/>
      <c r="E139" s="492"/>
      <c r="F139" s="492">
        <v>18060</v>
      </c>
      <c r="G139" s="492"/>
      <c r="H139" s="492"/>
      <c r="I139" s="492">
        <v>18060</v>
      </c>
      <c r="J139" s="492"/>
      <c r="K139" s="492">
        <v>18060</v>
      </c>
      <c r="L139" s="492"/>
      <c r="M139" s="492">
        <v>18060</v>
      </c>
      <c r="N139" s="492"/>
      <c r="O139" s="204">
        <v>18060</v>
      </c>
      <c r="P139" s="492">
        <v>0</v>
      </c>
      <c r="Q139" s="492"/>
      <c r="R139" s="492">
        <v>0</v>
      </c>
      <c r="S139" s="492"/>
      <c r="T139" s="204">
        <v>0</v>
      </c>
    </row>
    <row r="140" spans="1:20">
      <c r="A140" s="495" t="s">
        <v>589</v>
      </c>
      <c r="B140" s="495"/>
      <c r="C140" s="495"/>
      <c r="D140" s="495"/>
      <c r="E140" s="495"/>
      <c r="F140" s="495"/>
      <c r="G140" s="495"/>
      <c r="H140" s="495"/>
      <c r="I140" s="495"/>
      <c r="J140" s="495"/>
      <c r="K140" s="495"/>
      <c r="L140" s="495"/>
      <c r="M140" s="495"/>
      <c r="N140" s="495"/>
      <c r="O140" s="495"/>
      <c r="P140" s="495"/>
      <c r="Q140" s="495"/>
      <c r="R140" s="495"/>
      <c r="S140" s="495"/>
      <c r="T140" s="495"/>
    </row>
    <row r="141" spans="1:20">
      <c r="A141" s="205"/>
      <c r="B141" s="206">
        <v>18060</v>
      </c>
      <c r="C141" s="493">
        <v>18060</v>
      </c>
      <c r="D141" s="493"/>
      <c r="E141" s="493"/>
      <c r="F141" s="493">
        <v>18060</v>
      </c>
      <c r="G141" s="493"/>
      <c r="H141" s="493"/>
      <c r="I141" s="493">
        <v>18060</v>
      </c>
      <c r="J141" s="493"/>
      <c r="K141" s="493">
        <v>18060</v>
      </c>
      <c r="L141" s="493"/>
      <c r="M141" s="493">
        <v>18060</v>
      </c>
      <c r="N141" s="493"/>
      <c r="O141" s="206">
        <v>18060</v>
      </c>
      <c r="P141" s="493">
        <v>0</v>
      </c>
      <c r="Q141" s="493"/>
      <c r="R141" s="493">
        <v>0</v>
      </c>
      <c r="S141" s="493"/>
      <c r="T141" s="206">
        <v>0</v>
      </c>
    </row>
    <row r="142" spans="1:20">
      <c r="A142" s="471" t="s">
        <v>593</v>
      </c>
      <c r="B142" s="471"/>
      <c r="C142" s="471"/>
      <c r="D142" s="471"/>
      <c r="E142" s="471"/>
      <c r="F142" s="471"/>
      <c r="G142" s="471"/>
      <c r="H142" s="471"/>
      <c r="I142" s="471"/>
      <c r="J142" s="471"/>
      <c r="K142" s="471"/>
      <c r="L142" s="471"/>
      <c r="M142" s="471"/>
      <c r="N142" s="471"/>
      <c r="O142" s="471"/>
      <c r="P142" s="471"/>
      <c r="Q142" s="471"/>
      <c r="R142" s="471"/>
      <c r="S142" s="471"/>
      <c r="T142" s="471"/>
    </row>
    <row r="143" spans="1:20">
      <c r="A143" s="203"/>
      <c r="B143" s="204">
        <v>1190</v>
      </c>
      <c r="C143" s="492">
        <v>1190</v>
      </c>
      <c r="D143" s="492"/>
      <c r="E143" s="492"/>
      <c r="F143" s="492">
        <v>1190</v>
      </c>
      <c r="G143" s="492"/>
      <c r="H143" s="492"/>
      <c r="I143" s="492">
        <v>1190</v>
      </c>
      <c r="J143" s="492"/>
      <c r="K143" s="492">
        <v>1190</v>
      </c>
      <c r="L143" s="492"/>
      <c r="M143" s="492">
        <v>1190</v>
      </c>
      <c r="N143" s="492"/>
      <c r="O143" s="204">
        <v>1190</v>
      </c>
      <c r="P143" s="492">
        <v>0</v>
      </c>
      <c r="Q143" s="492"/>
      <c r="R143" s="492">
        <v>0</v>
      </c>
      <c r="S143" s="492"/>
      <c r="T143" s="204">
        <v>0</v>
      </c>
    </row>
    <row r="144" spans="1:20">
      <c r="A144" s="495" t="s">
        <v>594</v>
      </c>
      <c r="B144" s="495"/>
      <c r="C144" s="495"/>
      <c r="D144" s="495"/>
      <c r="E144" s="495"/>
      <c r="F144" s="495"/>
      <c r="G144" s="495"/>
      <c r="H144" s="495"/>
      <c r="I144" s="495"/>
      <c r="J144" s="495"/>
      <c r="K144" s="495"/>
      <c r="L144" s="495"/>
      <c r="M144" s="495"/>
      <c r="N144" s="495"/>
      <c r="O144" s="495"/>
      <c r="P144" s="495"/>
      <c r="Q144" s="495"/>
      <c r="R144" s="495"/>
      <c r="S144" s="495"/>
      <c r="T144" s="495"/>
    </row>
    <row r="145" spans="1:20">
      <c r="A145" s="205"/>
      <c r="B145" s="206">
        <v>1190</v>
      </c>
      <c r="C145" s="493">
        <v>1190</v>
      </c>
      <c r="D145" s="493"/>
      <c r="E145" s="493"/>
      <c r="F145" s="493">
        <v>1190</v>
      </c>
      <c r="G145" s="493"/>
      <c r="H145" s="493"/>
      <c r="I145" s="493">
        <v>1190</v>
      </c>
      <c r="J145" s="493"/>
      <c r="K145" s="493">
        <v>1190</v>
      </c>
      <c r="L145" s="493"/>
      <c r="M145" s="493">
        <v>1190</v>
      </c>
      <c r="N145" s="493"/>
      <c r="O145" s="206">
        <v>1190</v>
      </c>
      <c r="P145" s="493">
        <v>0</v>
      </c>
      <c r="Q145" s="493"/>
      <c r="R145" s="493">
        <v>0</v>
      </c>
      <c r="S145" s="493"/>
      <c r="T145" s="206">
        <v>0</v>
      </c>
    </row>
    <row r="146" spans="1:20">
      <c r="A146" s="494" t="s">
        <v>595</v>
      </c>
      <c r="B146" s="494"/>
      <c r="C146" s="494"/>
      <c r="D146" s="494"/>
      <c r="E146" s="494"/>
      <c r="F146" s="494"/>
      <c r="G146" s="494"/>
      <c r="H146" s="494"/>
      <c r="I146" s="494"/>
      <c r="J146" s="494"/>
      <c r="K146" s="494"/>
      <c r="L146" s="494"/>
      <c r="M146" s="494"/>
      <c r="N146" s="494"/>
      <c r="O146" s="494"/>
      <c r="P146" s="494"/>
      <c r="Q146" s="494"/>
      <c r="R146" s="494"/>
      <c r="S146" s="494"/>
      <c r="T146" s="494"/>
    </row>
    <row r="147" spans="1:20">
      <c r="A147" s="203"/>
      <c r="B147" s="204">
        <v>25680</v>
      </c>
      <c r="C147" s="492">
        <v>25680</v>
      </c>
      <c r="D147" s="492"/>
      <c r="E147" s="492"/>
      <c r="F147" s="492">
        <v>25680</v>
      </c>
      <c r="G147" s="492"/>
      <c r="H147" s="492"/>
      <c r="I147" s="492">
        <v>25680</v>
      </c>
      <c r="J147" s="492"/>
      <c r="K147" s="492">
        <v>25680</v>
      </c>
      <c r="L147" s="492"/>
      <c r="M147" s="492">
        <v>25680</v>
      </c>
      <c r="N147" s="492"/>
      <c r="O147" s="204">
        <v>25680</v>
      </c>
      <c r="P147" s="492">
        <v>0</v>
      </c>
      <c r="Q147" s="492"/>
      <c r="R147" s="492">
        <v>0</v>
      </c>
      <c r="S147" s="492"/>
      <c r="T147" s="204">
        <v>0</v>
      </c>
    </row>
    <row r="148" spans="1:20">
      <c r="A148" s="471" t="s">
        <v>551</v>
      </c>
      <c r="B148" s="471"/>
      <c r="C148" s="471"/>
      <c r="D148" s="471"/>
      <c r="E148" s="471"/>
      <c r="F148" s="471"/>
      <c r="G148" s="471"/>
      <c r="H148" s="471"/>
      <c r="I148" s="471"/>
      <c r="J148" s="471"/>
      <c r="K148" s="471"/>
      <c r="L148" s="471"/>
      <c r="M148" s="471"/>
      <c r="N148" s="471"/>
      <c r="O148" s="471"/>
      <c r="P148" s="471"/>
      <c r="Q148" s="471"/>
      <c r="R148" s="471"/>
      <c r="S148" s="471"/>
      <c r="T148" s="471"/>
    </row>
    <row r="149" spans="1:20">
      <c r="A149" s="203"/>
      <c r="B149" s="204">
        <v>25680</v>
      </c>
      <c r="C149" s="492">
        <v>25680</v>
      </c>
      <c r="D149" s="492"/>
      <c r="E149" s="492"/>
      <c r="F149" s="492">
        <v>25680</v>
      </c>
      <c r="G149" s="492"/>
      <c r="H149" s="492"/>
      <c r="I149" s="492">
        <v>25680</v>
      </c>
      <c r="J149" s="492"/>
      <c r="K149" s="492">
        <v>25680</v>
      </c>
      <c r="L149" s="492"/>
      <c r="M149" s="492">
        <v>25680</v>
      </c>
      <c r="N149" s="492"/>
      <c r="O149" s="204">
        <v>25680</v>
      </c>
      <c r="P149" s="492">
        <v>0</v>
      </c>
      <c r="Q149" s="492"/>
      <c r="R149" s="492">
        <v>0</v>
      </c>
      <c r="S149" s="492"/>
      <c r="T149" s="204">
        <v>0</v>
      </c>
    </row>
    <row r="150" spans="1:20">
      <c r="A150" s="474" t="s">
        <v>586</v>
      </c>
      <c r="B150" s="474"/>
      <c r="C150" s="474"/>
      <c r="D150" s="474"/>
      <c r="E150" s="474"/>
      <c r="F150" s="474"/>
      <c r="G150" s="474"/>
      <c r="H150" s="474"/>
      <c r="I150" s="474"/>
      <c r="J150" s="474"/>
      <c r="K150" s="474"/>
      <c r="L150" s="474"/>
      <c r="M150" s="474"/>
      <c r="N150" s="474"/>
      <c r="O150" s="474"/>
      <c r="P150" s="474"/>
      <c r="Q150" s="474"/>
      <c r="R150" s="474"/>
      <c r="S150" s="474"/>
      <c r="T150" s="474"/>
    </row>
    <row r="151" spans="1:20">
      <c r="A151" s="205"/>
      <c r="B151" s="206">
        <v>25680</v>
      </c>
      <c r="C151" s="493">
        <v>25680</v>
      </c>
      <c r="D151" s="493"/>
      <c r="E151" s="493"/>
      <c r="F151" s="493">
        <v>25680</v>
      </c>
      <c r="G151" s="493"/>
      <c r="H151" s="493"/>
      <c r="I151" s="493">
        <v>25680</v>
      </c>
      <c r="J151" s="493"/>
      <c r="K151" s="493">
        <v>25680</v>
      </c>
      <c r="L151" s="493"/>
      <c r="M151" s="493">
        <v>25680</v>
      </c>
      <c r="N151" s="493"/>
      <c r="O151" s="206">
        <v>25680</v>
      </c>
      <c r="P151" s="493">
        <v>0</v>
      </c>
      <c r="Q151" s="493"/>
      <c r="R151" s="493">
        <v>0</v>
      </c>
      <c r="S151" s="493"/>
      <c r="T151" s="206">
        <v>0</v>
      </c>
    </row>
    <row r="152" spans="1:20">
      <c r="A152" s="471" t="s">
        <v>593</v>
      </c>
      <c r="B152" s="471"/>
      <c r="C152" s="471"/>
      <c r="D152" s="471"/>
      <c r="E152" s="471"/>
      <c r="F152" s="471"/>
      <c r="G152" s="471"/>
      <c r="H152" s="471"/>
      <c r="I152" s="471"/>
      <c r="J152" s="471"/>
      <c r="K152" s="471"/>
      <c r="L152" s="471"/>
      <c r="M152" s="471"/>
      <c r="N152" s="471"/>
      <c r="O152" s="471"/>
      <c r="P152" s="471"/>
      <c r="Q152" s="471"/>
      <c r="R152" s="471"/>
      <c r="S152" s="471"/>
      <c r="T152" s="471"/>
    </row>
    <row r="153" spans="1:20">
      <c r="A153" s="203"/>
      <c r="B153" s="204">
        <v>25680</v>
      </c>
      <c r="C153" s="492">
        <v>25680</v>
      </c>
      <c r="D153" s="492"/>
      <c r="E153" s="492"/>
      <c r="F153" s="492">
        <v>25680</v>
      </c>
      <c r="G153" s="492"/>
      <c r="H153" s="492"/>
      <c r="I153" s="492">
        <v>25680</v>
      </c>
      <c r="J153" s="492"/>
      <c r="K153" s="492">
        <v>25680</v>
      </c>
      <c r="L153" s="492"/>
      <c r="M153" s="492">
        <v>25680</v>
      </c>
      <c r="N153" s="492"/>
      <c r="O153" s="204">
        <v>25680</v>
      </c>
      <c r="P153" s="492">
        <v>0</v>
      </c>
      <c r="Q153" s="492"/>
      <c r="R153" s="492">
        <v>0</v>
      </c>
      <c r="S153" s="492"/>
      <c r="T153" s="204">
        <v>0</v>
      </c>
    </row>
    <row r="154" spans="1:20">
      <c r="A154" s="495" t="s">
        <v>594</v>
      </c>
      <c r="B154" s="495"/>
      <c r="C154" s="495"/>
      <c r="D154" s="495"/>
      <c r="E154" s="495"/>
      <c r="F154" s="495"/>
      <c r="G154" s="495"/>
      <c r="H154" s="495"/>
      <c r="I154" s="495"/>
      <c r="J154" s="495"/>
      <c r="K154" s="495"/>
      <c r="L154" s="495"/>
      <c r="M154" s="495"/>
      <c r="N154" s="495"/>
      <c r="O154" s="495"/>
      <c r="P154" s="495"/>
      <c r="Q154" s="495"/>
      <c r="R154" s="495"/>
      <c r="S154" s="495"/>
      <c r="T154" s="495"/>
    </row>
    <row r="155" spans="1:20">
      <c r="A155" s="205"/>
      <c r="B155" s="206">
        <v>25680</v>
      </c>
      <c r="C155" s="493">
        <v>25680</v>
      </c>
      <c r="D155" s="493"/>
      <c r="E155" s="493"/>
      <c r="F155" s="493">
        <v>25680</v>
      </c>
      <c r="G155" s="493"/>
      <c r="H155" s="493"/>
      <c r="I155" s="493">
        <v>25680</v>
      </c>
      <c r="J155" s="493"/>
      <c r="K155" s="493">
        <v>25680</v>
      </c>
      <c r="L155" s="493"/>
      <c r="M155" s="493">
        <v>25680</v>
      </c>
      <c r="N155" s="493"/>
      <c r="O155" s="206">
        <v>25680</v>
      </c>
      <c r="P155" s="493">
        <v>0</v>
      </c>
      <c r="Q155" s="493"/>
      <c r="R155" s="493">
        <v>0</v>
      </c>
      <c r="S155" s="493"/>
      <c r="T155" s="206">
        <v>0</v>
      </c>
    </row>
    <row r="156" spans="1:20">
      <c r="A156" s="495" t="s">
        <v>596</v>
      </c>
      <c r="B156" s="495"/>
      <c r="C156" s="495"/>
      <c r="D156" s="495"/>
      <c r="E156" s="495"/>
      <c r="F156" s="495"/>
      <c r="G156" s="495"/>
      <c r="H156" s="495"/>
      <c r="I156" s="495"/>
      <c r="J156" s="495"/>
      <c r="K156" s="495"/>
      <c r="L156" s="495"/>
      <c r="M156" s="495"/>
      <c r="N156" s="495"/>
      <c r="O156" s="495"/>
      <c r="P156" s="495"/>
      <c r="Q156" s="495"/>
      <c r="R156" s="495"/>
      <c r="S156" s="495"/>
      <c r="T156" s="495"/>
    </row>
    <row r="157" spans="1:20">
      <c r="A157" s="205"/>
      <c r="B157" s="206">
        <v>47820</v>
      </c>
      <c r="C157" s="493">
        <v>8312</v>
      </c>
      <c r="D157" s="493"/>
      <c r="E157" s="493"/>
      <c r="F157" s="493">
        <v>8312</v>
      </c>
      <c r="G157" s="493"/>
      <c r="H157" s="493"/>
      <c r="I157" s="493">
        <v>8312</v>
      </c>
      <c r="J157" s="493"/>
      <c r="K157" s="493">
        <v>8312</v>
      </c>
      <c r="L157" s="493"/>
      <c r="M157" s="493">
        <v>8312</v>
      </c>
      <c r="N157" s="493"/>
      <c r="O157" s="206">
        <v>8312</v>
      </c>
      <c r="P157" s="493">
        <v>39508</v>
      </c>
      <c r="Q157" s="493"/>
      <c r="R157" s="493">
        <v>0</v>
      </c>
      <c r="S157" s="493"/>
      <c r="T157" s="206">
        <v>0</v>
      </c>
    </row>
    <row r="158" spans="1:20">
      <c r="A158" s="471" t="s">
        <v>551</v>
      </c>
      <c r="B158" s="471"/>
      <c r="C158" s="471"/>
      <c r="D158" s="471"/>
      <c r="E158" s="471"/>
      <c r="F158" s="471"/>
      <c r="G158" s="471"/>
      <c r="H158" s="471"/>
      <c r="I158" s="471"/>
      <c r="J158" s="471"/>
      <c r="K158" s="471"/>
      <c r="L158" s="471"/>
      <c r="M158" s="471"/>
      <c r="N158" s="471"/>
      <c r="O158" s="471"/>
      <c r="P158" s="471"/>
      <c r="Q158" s="471"/>
      <c r="R158" s="471"/>
      <c r="S158" s="471"/>
      <c r="T158" s="471"/>
    </row>
    <row r="159" spans="1:20">
      <c r="A159" s="203"/>
      <c r="B159" s="204">
        <v>47820</v>
      </c>
      <c r="C159" s="492">
        <v>8312</v>
      </c>
      <c r="D159" s="492"/>
      <c r="E159" s="492"/>
      <c r="F159" s="492">
        <v>8312</v>
      </c>
      <c r="G159" s="492"/>
      <c r="H159" s="492"/>
      <c r="I159" s="492">
        <v>8312</v>
      </c>
      <c r="J159" s="492"/>
      <c r="K159" s="492">
        <v>8312</v>
      </c>
      <c r="L159" s="492"/>
      <c r="M159" s="492">
        <v>8312</v>
      </c>
      <c r="N159" s="492"/>
      <c r="O159" s="204">
        <v>8312</v>
      </c>
      <c r="P159" s="492">
        <v>39508</v>
      </c>
      <c r="Q159" s="492"/>
      <c r="R159" s="492">
        <v>0</v>
      </c>
      <c r="S159" s="492"/>
      <c r="T159" s="204">
        <v>0</v>
      </c>
    </row>
    <row r="160" spans="1:20">
      <c r="A160" s="474" t="s">
        <v>586</v>
      </c>
      <c r="B160" s="474"/>
      <c r="C160" s="474"/>
      <c r="D160" s="474"/>
      <c r="E160" s="474"/>
      <c r="F160" s="474"/>
      <c r="G160" s="474"/>
      <c r="H160" s="474"/>
      <c r="I160" s="474"/>
      <c r="J160" s="474"/>
      <c r="K160" s="474"/>
      <c r="L160" s="474"/>
      <c r="M160" s="474"/>
      <c r="N160" s="474"/>
      <c r="O160" s="474"/>
      <c r="P160" s="474"/>
      <c r="Q160" s="474"/>
      <c r="R160" s="474"/>
      <c r="S160" s="474"/>
      <c r="T160" s="474"/>
    </row>
    <row r="161" spans="1:20">
      <c r="A161" s="205"/>
      <c r="B161" s="206">
        <v>47820</v>
      </c>
      <c r="C161" s="493">
        <v>8312</v>
      </c>
      <c r="D161" s="493"/>
      <c r="E161" s="493"/>
      <c r="F161" s="493">
        <v>8312</v>
      </c>
      <c r="G161" s="493"/>
      <c r="H161" s="493"/>
      <c r="I161" s="493">
        <v>8312</v>
      </c>
      <c r="J161" s="493"/>
      <c r="K161" s="493">
        <v>8312</v>
      </c>
      <c r="L161" s="493"/>
      <c r="M161" s="493">
        <v>8312</v>
      </c>
      <c r="N161" s="493"/>
      <c r="O161" s="206">
        <v>8312</v>
      </c>
      <c r="P161" s="493">
        <v>39508</v>
      </c>
      <c r="Q161" s="493"/>
      <c r="R161" s="493">
        <v>0</v>
      </c>
      <c r="S161" s="493"/>
      <c r="T161" s="206">
        <v>0</v>
      </c>
    </row>
    <row r="162" spans="1:20">
      <c r="A162" s="471" t="s">
        <v>593</v>
      </c>
      <c r="B162" s="471"/>
      <c r="C162" s="471"/>
      <c r="D162" s="471"/>
      <c r="E162" s="471"/>
      <c r="F162" s="471"/>
      <c r="G162" s="471"/>
      <c r="H162" s="471"/>
      <c r="I162" s="471"/>
      <c r="J162" s="471"/>
      <c r="K162" s="471"/>
      <c r="L162" s="471"/>
      <c r="M162" s="471"/>
      <c r="N162" s="471"/>
      <c r="O162" s="471"/>
      <c r="P162" s="471"/>
      <c r="Q162" s="471"/>
      <c r="R162" s="471"/>
      <c r="S162" s="471"/>
      <c r="T162" s="471"/>
    </row>
    <row r="163" spans="1:20">
      <c r="A163" s="203"/>
      <c r="B163" s="204">
        <v>47820</v>
      </c>
      <c r="C163" s="492">
        <v>8312</v>
      </c>
      <c r="D163" s="492"/>
      <c r="E163" s="492"/>
      <c r="F163" s="492">
        <v>8312</v>
      </c>
      <c r="G163" s="492"/>
      <c r="H163" s="492"/>
      <c r="I163" s="492">
        <v>8312</v>
      </c>
      <c r="J163" s="492"/>
      <c r="K163" s="492">
        <v>8312</v>
      </c>
      <c r="L163" s="492"/>
      <c r="M163" s="492">
        <v>8312</v>
      </c>
      <c r="N163" s="492"/>
      <c r="O163" s="204">
        <v>8312</v>
      </c>
      <c r="P163" s="492">
        <v>39508</v>
      </c>
      <c r="Q163" s="492"/>
      <c r="R163" s="492">
        <v>0</v>
      </c>
      <c r="S163" s="492"/>
      <c r="T163" s="204">
        <v>0</v>
      </c>
    </row>
    <row r="164" spans="1:20">
      <c r="A164" s="495" t="s">
        <v>594</v>
      </c>
      <c r="B164" s="495"/>
      <c r="C164" s="495"/>
      <c r="D164" s="495"/>
      <c r="E164" s="495"/>
      <c r="F164" s="495"/>
      <c r="G164" s="495"/>
      <c r="H164" s="495"/>
      <c r="I164" s="495"/>
      <c r="J164" s="495"/>
      <c r="K164" s="495"/>
      <c r="L164" s="495"/>
      <c r="M164" s="495"/>
      <c r="N164" s="495"/>
      <c r="O164" s="495"/>
      <c r="P164" s="495"/>
      <c r="Q164" s="495"/>
      <c r="R164" s="495"/>
      <c r="S164" s="495"/>
      <c r="T164" s="495"/>
    </row>
    <row r="165" spans="1:20">
      <c r="A165" s="205"/>
      <c r="B165" s="206">
        <v>8312</v>
      </c>
      <c r="C165" s="493">
        <v>8312</v>
      </c>
      <c r="D165" s="493"/>
      <c r="E165" s="493"/>
      <c r="F165" s="493">
        <v>8312</v>
      </c>
      <c r="G165" s="493"/>
      <c r="H165" s="493"/>
      <c r="I165" s="493">
        <v>8312</v>
      </c>
      <c r="J165" s="493"/>
      <c r="K165" s="493">
        <v>8312</v>
      </c>
      <c r="L165" s="493"/>
      <c r="M165" s="493">
        <v>8312</v>
      </c>
      <c r="N165" s="493"/>
      <c r="O165" s="206">
        <v>8312</v>
      </c>
      <c r="P165" s="493">
        <v>0</v>
      </c>
      <c r="Q165" s="493"/>
      <c r="R165" s="493">
        <v>0</v>
      </c>
      <c r="S165" s="493"/>
      <c r="T165" s="206">
        <v>0</v>
      </c>
    </row>
    <row r="166" spans="1:20">
      <c r="A166" s="494" t="s">
        <v>610</v>
      </c>
      <c r="B166" s="494"/>
      <c r="C166" s="494"/>
      <c r="D166" s="494"/>
      <c r="E166" s="494"/>
      <c r="F166" s="494"/>
      <c r="G166" s="494"/>
      <c r="H166" s="494"/>
      <c r="I166" s="494"/>
      <c r="J166" s="494"/>
      <c r="K166" s="494"/>
      <c r="L166" s="494"/>
      <c r="M166" s="494"/>
      <c r="N166" s="494"/>
      <c r="O166" s="494"/>
      <c r="P166" s="494"/>
      <c r="Q166" s="494"/>
      <c r="R166" s="494"/>
      <c r="S166" s="494"/>
      <c r="T166" s="494"/>
    </row>
    <row r="167" spans="1:20">
      <c r="A167" s="203"/>
      <c r="B167" s="204">
        <v>39508</v>
      </c>
      <c r="C167" s="492">
        <v>0</v>
      </c>
      <c r="D167" s="492"/>
      <c r="E167" s="492"/>
      <c r="F167" s="492">
        <v>0</v>
      </c>
      <c r="G167" s="492"/>
      <c r="H167" s="492"/>
      <c r="I167" s="492">
        <v>0</v>
      </c>
      <c r="J167" s="492"/>
      <c r="K167" s="492">
        <v>0</v>
      </c>
      <c r="L167" s="492"/>
      <c r="M167" s="492">
        <v>0</v>
      </c>
      <c r="N167" s="492"/>
      <c r="O167" s="204">
        <v>0</v>
      </c>
      <c r="P167" s="492">
        <v>39508</v>
      </c>
      <c r="Q167" s="492"/>
      <c r="R167" s="492">
        <v>0</v>
      </c>
      <c r="S167" s="492"/>
      <c r="T167" s="204">
        <v>0</v>
      </c>
    </row>
    <row r="168" spans="1:20">
      <c r="A168" s="471" t="s">
        <v>559</v>
      </c>
      <c r="B168" s="471"/>
      <c r="C168" s="471"/>
      <c r="D168" s="471"/>
      <c r="E168" s="471"/>
      <c r="F168" s="471"/>
      <c r="G168" s="471"/>
      <c r="H168" s="471"/>
      <c r="I168" s="471"/>
      <c r="J168" s="471"/>
      <c r="K168" s="471"/>
      <c r="L168" s="471"/>
      <c r="M168" s="471"/>
      <c r="N168" s="471"/>
      <c r="O168" s="471"/>
      <c r="P168" s="471"/>
      <c r="Q168" s="471"/>
      <c r="R168" s="471"/>
      <c r="S168" s="471"/>
      <c r="T168" s="471"/>
    </row>
    <row r="169" spans="1:20">
      <c r="A169" s="203"/>
      <c r="B169" s="204">
        <v>453598.81</v>
      </c>
      <c r="C169" s="492">
        <v>417704.92</v>
      </c>
      <c r="D169" s="492"/>
      <c r="E169" s="492"/>
      <c r="F169" s="492">
        <v>417704.92</v>
      </c>
      <c r="G169" s="492"/>
      <c r="H169" s="492"/>
      <c r="I169" s="492">
        <v>417704.92</v>
      </c>
      <c r="J169" s="492"/>
      <c r="K169" s="492">
        <v>417704.92</v>
      </c>
      <c r="L169" s="492"/>
      <c r="M169" s="492">
        <v>402843.67</v>
      </c>
      <c r="N169" s="492"/>
      <c r="O169" s="204">
        <v>402843.67</v>
      </c>
      <c r="P169" s="492">
        <v>35893.89</v>
      </c>
      <c r="Q169" s="492"/>
      <c r="R169" s="492">
        <v>0</v>
      </c>
      <c r="S169" s="492"/>
      <c r="T169" s="204">
        <v>14861.25</v>
      </c>
    </row>
    <row r="170" spans="1:20">
      <c r="A170" s="495" t="s">
        <v>560</v>
      </c>
      <c r="B170" s="495"/>
      <c r="C170" s="495"/>
      <c r="D170" s="495"/>
      <c r="E170" s="495"/>
      <c r="F170" s="495"/>
      <c r="G170" s="495"/>
      <c r="H170" s="495"/>
      <c r="I170" s="495"/>
      <c r="J170" s="495"/>
      <c r="K170" s="495"/>
      <c r="L170" s="495"/>
      <c r="M170" s="495"/>
      <c r="N170" s="495"/>
      <c r="O170" s="495"/>
      <c r="P170" s="495"/>
      <c r="Q170" s="495"/>
      <c r="R170" s="495"/>
      <c r="S170" s="495"/>
      <c r="T170" s="495"/>
    </row>
    <row r="171" spans="1:20">
      <c r="A171" s="205"/>
      <c r="B171" s="206">
        <v>388912.82</v>
      </c>
      <c r="C171" s="493">
        <v>353352.44</v>
      </c>
      <c r="D171" s="493"/>
      <c r="E171" s="493"/>
      <c r="F171" s="493">
        <v>353352.44</v>
      </c>
      <c r="G171" s="493"/>
      <c r="H171" s="493"/>
      <c r="I171" s="493">
        <v>353352.44</v>
      </c>
      <c r="J171" s="493"/>
      <c r="K171" s="493">
        <v>353352.44</v>
      </c>
      <c r="L171" s="493"/>
      <c r="M171" s="493">
        <v>338491.19</v>
      </c>
      <c r="N171" s="493"/>
      <c r="O171" s="206">
        <v>338491.19</v>
      </c>
      <c r="P171" s="493">
        <v>35560.379999999997</v>
      </c>
      <c r="Q171" s="493"/>
      <c r="R171" s="493">
        <v>0</v>
      </c>
      <c r="S171" s="493"/>
      <c r="T171" s="206">
        <v>14861.25</v>
      </c>
    </row>
    <row r="172" spans="1:20">
      <c r="A172" s="471" t="s">
        <v>551</v>
      </c>
      <c r="B172" s="471"/>
      <c r="C172" s="471"/>
      <c r="D172" s="471"/>
      <c r="E172" s="471"/>
      <c r="F172" s="471"/>
      <c r="G172" s="471"/>
      <c r="H172" s="471"/>
      <c r="I172" s="471"/>
      <c r="J172" s="471"/>
      <c r="K172" s="471"/>
      <c r="L172" s="471"/>
      <c r="M172" s="471"/>
      <c r="N172" s="471"/>
      <c r="O172" s="471"/>
      <c r="P172" s="471"/>
      <c r="Q172" s="471"/>
      <c r="R172" s="471"/>
      <c r="S172" s="471"/>
      <c r="T172" s="471"/>
    </row>
    <row r="173" spans="1:20">
      <c r="A173" s="203"/>
      <c r="B173" s="204">
        <v>383995.82</v>
      </c>
      <c r="C173" s="492">
        <v>348435.44</v>
      </c>
      <c r="D173" s="492"/>
      <c r="E173" s="492"/>
      <c r="F173" s="492">
        <v>348435.44</v>
      </c>
      <c r="G173" s="492"/>
      <c r="H173" s="492"/>
      <c r="I173" s="492">
        <v>348435.44</v>
      </c>
      <c r="J173" s="492"/>
      <c r="K173" s="492">
        <v>348435.44</v>
      </c>
      <c r="L173" s="492"/>
      <c r="M173" s="492">
        <v>333574.19</v>
      </c>
      <c r="N173" s="492"/>
      <c r="O173" s="204">
        <v>333574.19</v>
      </c>
      <c r="P173" s="492">
        <v>35560.379999999997</v>
      </c>
      <c r="Q173" s="492"/>
      <c r="R173" s="492">
        <v>0</v>
      </c>
      <c r="S173" s="492"/>
      <c r="T173" s="204">
        <v>14861.25</v>
      </c>
    </row>
    <row r="174" spans="1:20">
      <c r="A174" s="474" t="s">
        <v>552</v>
      </c>
      <c r="B174" s="474"/>
      <c r="C174" s="474"/>
      <c r="D174" s="474"/>
      <c r="E174" s="474"/>
      <c r="F174" s="474"/>
      <c r="G174" s="474"/>
      <c r="H174" s="474"/>
      <c r="I174" s="474"/>
      <c r="J174" s="474"/>
      <c r="K174" s="474"/>
      <c r="L174" s="474"/>
      <c r="M174" s="474"/>
      <c r="N174" s="474"/>
      <c r="O174" s="474"/>
      <c r="P174" s="474"/>
      <c r="Q174" s="474"/>
      <c r="R174" s="474"/>
      <c r="S174" s="474"/>
      <c r="T174" s="474"/>
    </row>
    <row r="175" spans="1:20">
      <c r="A175" s="205"/>
      <c r="B175" s="206">
        <v>184747.14</v>
      </c>
      <c r="C175" s="493">
        <v>178595.16</v>
      </c>
      <c r="D175" s="493"/>
      <c r="E175" s="493"/>
      <c r="F175" s="493">
        <v>178595.16</v>
      </c>
      <c r="G175" s="493"/>
      <c r="H175" s="493"/>
      <c r="I175" s="493">
        <v>178595.16</v>
      </c>
      <c r="J175" s="493"/>
      <c r="K175" s="493">
        <v>178595.16</v>
      </c>
      <c r="L175" s="493"/>
      <c r="M175" s="493">
        <v>173644</v>
      </c>
      <c r="N175" s="493"/>
      <c r="O175" s="206">
        <v>173644</v>
      </c>
      <c r="P175" s="493">
        <v>6151.98</v>
      </c>
      <c r="Q175" s="493"/>
      <c r="R175" s="493">
        <v>0</v>
      </c>
      <c r="S175" s="493"/>
      <c r="T175" s="206">
        <v>4951.16</v>
      </c>
    </row>
    <row r="176" spans="1:20">
      <c r="A176" s="471" t="s">
        <v>553</v>
      </c>
      <c r="B176" s="471"/>
      <c r="C176" s="471"/>
      <c r="D176" s="471"/>
      <c r="E176" s="471"/>
      <c r="F176" s="471"/>
      <c r="G176" s="471"/>
      <c r="H176" s="471"/>
      <c r="I176" s="471"/>
      <c r="J176" s="471"/>
      <c r="K176" s="471"/>
      <c r="L176" s="471"/>
      <c r="M176" s="471"/>
      <c r="N176" s="471"/>
      <c r="O176" s="471"/>
      <c r="P176" s="471"/>
      <c r="Q176" s="471"/>
      <c r="R176" s="471"/>
      <c r="S176" s="471"/>
      <c r="T176" s="471"/>
    </row>
    <row r="177" spans="1:20">
      <c r="A177" s="203"/>
      <c r="B177" s="204">
        <v>184747.14</v>
      </c>
      <c r="C177" s="492">
        <v>178595.16</v>
      </c>
      <c r="D177" s="492"/>
      <c r="E177" s="492"/>
      <c r="F177" s="492">
        <v>178595.16</v>
      </c>
      <c r="G177" s="492"/>
      <c r="H177" s="492"/>
      <c r="I177" s="492">
        <v>178595.16</v>
      </c>
      <c r="J177" s="492"/>
      <c r="K177" s="492">
        <v>178595.16</v>
      </c>
      <c r="L177" s="492"/>
      <c r="M177" s="492">
        <v>173644</v>
      </c>
      <c r="N177" s="492"/>
      <c r="O177" s="204">
        <v>173644</v>
      </c>
      <c r="P177" s="492">
        <v>6151.98</v>
      </c>
      <c r="Q177" s="492"/>
      <c r="R177" s="492">
        <v>0</v>
      </c>
      <c r="S177" s="492"/>
      <c r="T177" s="204">
        <v>4951.16</v>
      </c>
    </row>
    <row r="178" spans="1:20">
      <c r="A178" s="474" t="s">
        <v>554</v>
      </c>
      <c r="B178" s="474"/>
      <c r="C178" s="474"/>
      <c r="D178" s="474"/>
      <c r="E178" s="474"/>
      <c r="F178" s="474"/>
      <c r="G178" s="474"/>
      <c r="H178" s="474"/>
      <c r="I178" s="474"/>
      <c r="J178" s="474"/>
      <c r="K178" s="474"/>
      <c r="L178" s="474"/>
      <c r="M178" s="474"/>
      <c r="N178" s="474"/>
      <c r="O178" s="474"/>
      <c r="P178" s="474"/>
      <c r="Q178" s="474"/>
      <c r="R178" s="474"/>
      <c r="S178" s="474"/>
      <c r="T178" s="474"/>
    </row>
    <row r="179" spans="1:20">
      <c r="A179" s="205"/>
      <c r="B179" s="206">
        <v>137901.64000000001</v>
      </c>
      <c r="C179" s="493">
        <v>134291.35</v>
      </c>
      <c r="D179" s="493"/>
      <c r="E179" s="493"/>
      <c r="F179" s="493">
        <v>134291.35</v>
      </c>
      <c r="G179" s="493"/>
      <c r="H179" s="493"/>
      <c r="I179" s="493">
        <v>134291.35</v>
      </c>
      <c r="J179" s="493"/>
      <c r="K179" s="493">
        <v>134291.35</v>
      </c>
      <c r="L179" s="493"/>
      <c r="M179" s="493">
        <v>134291.35</v>
      </c>
      <c r="N179" s="493"/>
      <c r="O179" s="206">
        <v>134291.35</v>
      </c>
      <c r="P179" s="493">
        <v>3610.29</v>
      </c>
      <c r="Q179" s="493"/>
      <c r="R179" s="493">
        <v>0</v>
      </c>
      <c r="S179" s="493"/>
      <c r="T179" s="206">
        <v>0</v>
      </c>
    </row>
    <row r="180" spans="1:20">
      <c r="A180" s="494" t="s">
        <v>555</v>
      </c>
      <c r="B180" s="494"/>
      <c r="C180" s="494"/>
      <c r="D180" s="494"/>
      <c r="E180" s="494"/>
      <c r="F180" s="494"/>
      <c r="G180" s="494"/>
      <c r="H180" s="494"/>
      <c r="I180" s="494"/>
      <c r="J180" s="494"/>
      <c r="K180" s="494"/>
      <c r="L180" s="494"/>
      <c r="M180" s="494"/>
      <c r="N180" s="494"/>
      <c r="O180" s="494"/>
      <c r="P180" s="494"/>
      <c r="Q180" s="494"/>
      <c r="R180" s="494"/>
      <c r="S180" s="494"/>
      <c r="T180" s="494"/>
    </row>
    <row r="181" spans="1:20">
      <c r="A181" s="203"/>
      <c r="B181" s="204">
        <v>82369.429999999993</v>
      </c>
      <c r="C181" s="492">
        <v>81389.14</v>
      </c>
      <c r="D181" s="492"/>
      <c r="E181" s="492"/>
      <c r="F181" s="492">
        <v>81389.14</v>
      </c>
      <c r="G181" s="492"/>
      <c r="H181" s="492"/>
      <c r="I181" s="492">
        <v>81389.14</v>
      </c>
      <c r="J181" s="492"/>
      <c r="K181" s="492">
        <v>81389.14</v>
      </c>
      <c r="L181" s="492"/>
      <c r="M181" s="492">
        <v>81389.14</v>
      </c>
      <c r="N181" s="492"/>
      <c r="O181" s="204">
        <v>81389.14</v>
      </c>
      <c r="P181" s="492">
        <v>980.29</v>
      </c>
      <c r="Q181" s="492"/>
      <c r="R181" s="492">
        <v>0</v>
      </c>
      <c r="S181" s="492"/>
      <c r="T181" s="204">
        <v>0</v>
      </c>
    </row>
    <row r="182" spans="1:20">
      <c r="A182" s="495" t="s">
        <v>564</v>
      </c>
      <c r="B182" s="495"/>
      <c r="C182" s="495"/>
      <c r="D182" s="495"/>
      <c r="E182" s="495"/>
      <c r="F182" s="495"/>
      <c r="G182" s="495"/>
      <c r="H182" s="495"/>
      <c r="I182" s="495"/>
      <c r="J182" s="495"/>
      <c r="K182" s="495"/>
      <c r="L182" s="495"/>
      <c r="M182" s="495"/>
      <c r="N182" s="495"/>
      <c r="O182" s="495"/>
      <c r="P182" s="495"/>
      <c r="Q182" s="495"/>
      <c r="R182" s="495"/>
      <c r="S182" s="495"/>
      <c r="T182" s="495"/>
    </row>
    <row r="183" spans="1:20">
      <c r="A183" s="205"/>
      <c r="B183" s="206">
        <v>46800</v>
      </c>
      <c r="C183" s="493">
        <v>44170</v>
      </c>
      <c r="D183" s="493"/>
      <c r="E183" s="493"/>
      <c r="F183" s="493">
        <v>44170</v>
      </c>
      <c r="G183" s="493"/>
      <c r="H183" s="493"/>
      <c r="I183" s="493">
        <v>44170</v>
      </c>
      <c r="J183" s="493"/>
      <c r="K183" s="493">
        <v>44170</v>
      </c>
      <c r="L183" s="493"/>
      <c r="M183" s="493">
        <v>44170</v>
      </c>
      <c r="N183" s="493"/>
      <c r="O183" s="206">
        <v>44170</v>
      </c>
      <c r="P183" s="493">
        <v>2630</v>
      </c>
      <c r="Q183" s="493"/>
      <c r="R183" s="493">
        <v>0</v>
      </c>
      <c r="S183" s="493"/>
      <c r="T183" s="206">
        <v>0</v>
      </c>
    </row>
    <row r="184" spans="1:20">
      <c r="A184" s="494" t="s">
        <v>565</v>
      </c>
      <c r="B184" s="494"/>
      <c r="C184" s="494"/>
      <c r="D184" s="494"/>
      <c r="E184" s="494"/>
      <c r="F184" s="494"/>
      <c r="G184" s="494"/>
      <c r="H184" s="494"/>
      <c r="I184" s="494"/>
      <c r="J184" s="494"/>
      <c r="K184" s="494"/>
      <c r="L184" s="494"/>
      <c r="M184" s="494"/>
      <c r="N184" s="494"/>
      <c r="O184" s="494"/>
      <c r="P184" s="494"/>
      <c r="Q184" s="494"/>
      <c r="R184" s="494"/>
      <c r="S184" s="494"/>
      <c r="T184" s="494"/>
    </row>
    <row r="185" spans="1:20">
      <c r="A185" s="203"/>
      <c r="B185" s="204">
        <v>6232.4</v>
      </c>
      <c r="C185" s="492">
        <v>6232.4</v>
      </c>
      <c r="D185" s="492"/>
      <c r="E185" s="492"/>
      <c r="F185" s="492">
        <v>6232.4</v>
      </c>
      <c r="G185" s="492"/>
      <c r="H185" s="492"/>
      <c r="I185" s="492">
        <v>6232.4</v>
      </c>
      <c r="J185" s="492"/>
      <c r="K185" s="492">
        <v>6232.4</v>
      </c>
      <c r="L185" s="492"/>
      <c r="M185" s="492">
        <v>6232.4</v>
      </c>
      <c r="N185" s="492"/>
      <c r="O185" s="204">
        <v>6232.4</v>
      </c>
      <c r="P185" s="492">
        <v>0</v>
      </c>
      <c r="Q185" s="492"/>
      <c r="R185" s="492">
        <v>0</v>
      </c>
      <c r="S185" s="492"/>
      <c r="T185" s="204">
        <v>0</v>
      </c>
    </row>
    <row r="186" spans="1:20">
      <c r="A186" s="495" t="s">
        <v>566</v>
      </c>
      <c r="B186" s="495"/>
      <c r="C186" s="495"/>
      <c r="D186" s="495"/>
      <c r="E186" s="495"/>
      <c r="F186" s="495"/>
      <c r="G186" s="495"/>
      <c r="H186" s="495"/>
      <c r="I186" s="495"/>
      <c r="J186" s="495"/>
      <c r="K186" s="495"/>
      <c r="L186" s="495"/>
      <c r="M186" s="495"/>
      <c r="N186" s="495"/>
      <c r="O186" s="495"/>
      <c r="P186" s="495"/>
      <c r="Q186" s="495"/>
      <c r="R186" s="495"/>
      <c r="S186" s="495"/>
      <c r="T186" s="495"/>
    </row>
    <row r="187" spans="1:20">
      <c r="A187" s="205"/>
      <c r="B187" s="206">
        <v>2499.81</v>
      </c>
      <c r="C187" s="493">
        <v>2499.81</v>
      </c>
      <c r="D187" s="493"/>
      <c r="E187" s="493"/>
      <c r="F187" s="493">
        <v>2499.81</v>
      </c>
      <c r="G187" s="493"/>
      <c r="H187" s="493"/>
      <c r="I187" s="493">
        <v>2499.81</v>
      </c>
      <c r="J187" s="493"/>
      <c r="K187" s="493">
        <v>2499.81</v>
      </c>
      <c r="L187" s="493"/>
      <c r="M187" s="493">
        <v>2499.81</v>
      </c>
      <c r="N187" s="493"/>
      <c r="O187" s="206">
        <v>2499.81</v>
      </c>
      <c r="P187" s="493">
        <v>0</v>
      </c>
      <c r="Q187" s="493"/>
      <c r="R187" s="493">
        <v>0</v>
      </c>
      <c r="S187" s="493"/>
      <c r="T187" s="206">
        <v>0</v>
      </c>
    </row>
    <row r="188" spans="1:20">
      <c r="A188" s="471" t="s">
        <v>567</v>
      </c>
      <c r="B188" s="471"/>
      <c r="C188" s="471"/>
      <c r="D188" s="471"/>
      <c r="E188" s="471"/>
      <c r="F188" s="471"/>
      <c r="G188" s="471"/>
      <c r="H188" s="471"/>
      <c r="I188" s="471"/>
      <c r="J188" s="471"/>
      <c r="K188" s="471"/>
      <c r="L188" s="471"/>
      <c r="M188" s="471"/>
      <c r="N188" s="471"/>
      <c r="O188" s="471"/>
      <c r="P188" s="471"/>
      <c r="Q188" s="471"/>
      <c r="R188" s="471"/>
      <c r="S188" s="471"/>
      <c r="T188" s="471"/>
    </row>
    <row r="189" spans="1:20">
      <c r="A189" s="203"/>
      <c r="B189" s="204">
        <v>34805.5</v>
      </c>
      <c r="C189" s="492">
        <v>34466.99</v>
      </c>
      <c r="D189" s="492"/>
      <c r="E189" s="492"/>
      <c r="F189" s="492">
        <v>34466.99</v>
      </c>
      <c r="G189" s="492"/>
      <c r="H189" s="492"/>
      <c r="I189" s="492">
        <v>34466.99</v>
      </c>
      <c r="J189" s="492"/>
      <c r="K189" s="492">
        <v>34466.99</v>
      </c>
      <c r="L189" s="492"/>
      <c r="M189" s="492">
        <v>29515.83</v>
      </c>
      <c r="N189" s="492"/>
      <c r="O189" s="204">
        <v>29515.83</v>
      </c>
      <c r="P189" s="492">
        <v>338.51</v>
      </c>
      <c r="Q189" s="492"/>
      <c r="R189" s="492">
        <v>0</v>
      </c>
      <c r="S189" s="492"/>
      <c r="T189" s="204">
        <v>4951.16</v>
      </c>
    </row>
    <row r="190" spans="1:20">
      <c r="A190" s="495" t="s">
        <v>568</v>
      </c>
      <c r="B190" s="495"/>
      <c r="C190" s="495"/>
      <c r="D190" s="495"/>
      <c r="E190" s="495"/>
      <c r="F190" s="495"/>
      <c r="G190" s="495"/>
      <c r="H190" s="495"/>
      <c r="I190" s="495"/>
      <c r="J190" s="495"/>
      <c r="K190" s="495"/>
      <c r="L190" s="495"/>
      <c r="M190" s="495"/>
      <c r="N190" s="495"/>
      <c r="O190" s="495"/>
      <c r="P190" s="495"/>
      <c r="Q190" s="495"/>
      <c r="R190" s="495"/>
      <c r="S190" s="495"/>
      <c r="T190" s="495"/>
    </row>
    <row r="191" spans="1:20">
      <c r="A191" s="205"/>
      <c r="B191" s="206">
        <v>24383</v>
      </c>
      <c r="C191" s="493">
        <v>24383</v>
      </c>
      <c r="D191" s="493"/>
      <c r="E191" s="493"/>
      <c r="F191" s="493">
        <v>24383</v>
      </c>
      <c r="G191" s="493"/>
      <c r="H191" s="493"/>
      <c r="I191" s="493">
        <v>24383</v>
      </c>
      <c r="J191" s="493"/>
      <c r="K191" s="493">
        <v>24383</v>
      </c>
      <c r="L191" s="493"/>
      <c r="M191" s="493">
        <v>21838.38</v>
      </c>
      <c r="N191" s="493"/>
      <c r="O191" s="206">
        <v>21838.38</v>
      </c>
      <c r="P191" s="493">
        <v>0</v>
      </c>
      <c r="Q191" s="493"/>
      <c r="R191" s="493">
        <v>0</v>
      </c>
      <c r="S191" s="493"/>
      <c r="T191" s="206">
        <v>2544.62</v>
      </c>
    </row>
    <row r="192" spans="1:20">
      <c r="A192" s="494" t="s">
        <v>569</v>
      </c>
      <c r="B192" s="494"/>
      <c r="C192" s="494"/>
      <c r="D192" s="494"/>
      <c r="E192" s="494"/>
      <c r="F192" s="494"/>
      <c r="G192" s="494"/>
      <c r="H192" s="494"/>
      <c r="I192" s="494"/>
      <c r="J192" s="494"/>
      <c r="K192" s="494"/>
      <c r="L192" s="494"/>
      <c r="M192" s="494"/>
      <c r="N192" s="494"/>
      <c r="O192" s="494"/>
      <c r="P192" s="494"/>
      <c r="Q192" s="494"/>
      <c r="R192" s="494"/>
      <c r="S192" s="494"/>
      <c r="T192" s="494"/>
    </row>
    <row r="193" spans="1:20">
      <c r="A193" s="203"/>
      <c r="B193" s="204">
        <v>9289</v>
      </c>
      <c r="C193" s="492">
        <v>8963.98</v>
      </c>
      <c r="D193" s="492"/>
      <c r="E193" s="492"/>
      <c r="F193" s="492">
        <v>8963.98</v>
      </c>
      <c r="G193" s="492"/>
      <c r="H193" s="492"/>
      <c r="I193" s="492">
        <v>8963.98</v>
      </c>
      <c r="J193" s="492"/>
      <c r="K193" s="492">
        <v>8963.98</v>
      </c>
      <c r="L193" s="492"/>
      <c r="M193" s="492">
        <v>6817.5</v>
      </c>
      <c r="N193" s="492"/>
      <c r="O193" s="204">
        <v>6817.5</v>
      </c>
      <c r="P193" s="492">
        <v>325.02</v>
      </c>
      <c r="Q193" s="492"/>
      <c r="R193" s="492">
        <v>0</v>
      </c>
      <c r="S193" s="492"/>
      <c r="T193" s="204">
        <v>2146.48</v>
      </c>
    </row>
    <row r="194" spans="1:20">
      <c r="A194" s="495" t="s">
        <v>570</v>
      </c>
      <c r="B194" s="495"/>
      <c r="C194" s="495"/>
      <c r="D194" s="495"/>
      <c r="E194" s="495"/>
      <c r="F194" s="495"/>
      <c r="G194" s="495"/>
      <c r="H194" s="495"/>
      <c r="I194" s="495"/>
      <c r="J194" s="495"/>
      <c r="K194" s="495"/>
      <c r="L194" s="495"/>
      <c r="M194" s="495"/>
      <c r="N194" s="495"/>
      <c r="O194" s="495"/>
      <c r="P194" s="495"/>
      <c r="Q194" s="495"/>
      <c r="R194" s="495"/>
      <c r="S194" s="495"/>
      <c r="T194" s="495"/>
    </row>
    <row r="195" spans="1:20">
      <c r="A195" s="205"/>
      <c r="B195" s="206">
        <v>1133.5</v>
      </c>
      <c r="C195" s="493">
        <v>1120.01</v>
      </c>
      <c r="D195" s="493"/>
      <c r="E195" s="493"/>
      <c r="F195" s="493">
        <v>1120.01</v>
      </c>
      <c r="G195" s="493"/>
      <c r="H195" s="493"/>
      <c r="I195" s="493">
        <v>1120.01</v>
      </c>
      <c r="J195" s="493"/>
      <c r="K195" s="493">
        <v>1120.01</v>
      </c>
      <c r="L195" s="493"/>
      <c r="M195" s="493">
        <v>859.95</v>
      </c>
      <c r="N195" s="493"/>
      <c r="O195" s="206">
        <v>859.95</v>
      </c>
      <c r="P195" s="493">
        <v>13.49</v>
      </c>
      <c r="Q195" s="493"/>
      <c r="R195" s="493">
        <v>0</v>
      </c>
      <c r="S195" s="493"/>
      <c r="T195" s="206">
        <v>260.06</v>
      </c>
    </row>
    <row r="196" spans="1:20">
      <c r="A196" s="471" t="s">
        <v>571</v>
      </c>
      <c r="B196" s="471"/>
      <c r="C196" s="471"/>
      <c r="D196" s="471"/>
      <c r="E196" s="471"/>
      <c r="F196" s="471"/>
      <c r="G196" s="471"/>
      <c r="H196" s="471"/>
      <c r="I196" s="471"/>
      <c r="J196" s="471"/>
      <c r="K196" s="471"/>
      <c r="L196" s="471"/>
      <c r="M196" s="471"/>
      <c r="N196" s="471"/>
      <c r="O196" s="471"/>
      <c r="P196" s="471"/>
      <c r="Q196" s="471"/>
      <c r="R196" s="471"/>
      <c r="S196" s="471"/>
      <c r="T196" s="471"/>
    </row>
    <row r="197" spans="1:20">
      <c r="A197" s="203"/>
      <c r="B197" s="204">
        <v>12040</v>
      </c>
      <c r="C197" s="492">
        <v>9836.82</v>
      </c>
      <c r="D197" s="492"/>
      <c r="E197" s="492"/>
      <c r="F197" s="492">
        <v>9836.82</v>
      </c>
      <c r="G197" s="492"/>
      <c r="H197" s="492"/>
      <c r="I197" s="492">
        <v>9836.82</v>
      </c>
      <c r="J197" s="492"/>
      <c r="K197" s="492">
        <v>9836.82</v>
      </c>
      <c r="L197" s="492"/>
      <c r="M197" s="492">
        <v>9836.82</v>
      </c>
      <c r="N197" s="492"/>
      <c r="O197" s="204">
        <v>9836.82</v>
      </c>
      <c r="P197" s="492">
        <v>2203.1799999999998</v>
      </c>
      <c r="Q197" s="492"/>
      <c r="R197" s="492">
        <v>0</v>
      </c>
      <c r="S197" s="492"/>
      <c r="T197" s="204">
        <v>0</v>
      </c>
    </row>
    <row r="198" spans="1:20">
      <c r="A198" s="495" t="s">
        <v>572</v>
      </c>
      <c r="B198" s="495"/>
      <c r="C198" s="495"/>
      <c r="D198" s="495"/>
      <c r="E198" s="495"/>
      <c r="F198" s="495"/>
      <c r="G198" s="495"/>
      <c r="H198" s="495"/>
      <c r="I198" s="495"/>
      <c r="J198" s="495"/>
      <c r="K198" s="495"/>
      <c r="L198" s="495"/>
      <c r="M198" s="495"/>
      <c r="N198" s="495"/>
      <c r="O198" s="495"/>
      <c r="P198" s="495"/>
      <c r="Q198" s="495"/>
      <c r="R198" s="495"/>
      <c r="S198" s="495"/>
      <c r="T198" s="495"/>
    </row>
    <row r="199" spans="1:20">
      <c r="A199" s="205"/>
      <c r="B199" s="206">
        <v>1000</v>
      </c>
      <c r="C199" s="493">
        <v>734.88</v>
      </c>
      <c r="D199" s="493"/>
      <c r="E199" s="493"/>
      <c r="F199" s="493">
        <v>734.88</v>
      </c>
      <c r="G199" s="493"/>
      <c r="H199" s="493"/>
      <c r="I199" s="493">
        <v>734.88</v>
      </c>
      <c r="J199" s="493"/>
      <c r="K199" s="493">
        <v>734.88</v>
      </c>
      <c r="L199" s="493"/>
      <c r="M199" s="493">
        <v>734.88</v>
      </c>
      <c r="N199" s="493"/>
      <c r="O199" s="206">
        <v>734.88</v>
      </c>
      <c r="P199" s="493">
        <v>265.12</v>
      </c>
      <c r="Q199" s="493"/>
      <c r="R199" s="493">
        <v>0</v>
      </c>
      <c r="S199" s="493"/>
      <c r="T199" s="206">
        <v>0</v>
      </c>
    </row>
    <row r="200" spans="1:20">
      <c r="A200" s="494" t="s">
        <v>573</v>
      </c>
      <c r="B200" s="494"/>
      <c r="C200" s="494"/>
      <c r="D200" s="494"/>
      <c r="E200" s="494"/>
      <c r="F200" s="494"/>
      <c r="G200" s="494"/>
      <c r="H200" s="494"/>
      <c r="I200" s="494"/>
      <c r="J200" s="494"/>
      <c r="K200" s="494"/>
      <c r="L200" s="494"/>
      <c r="M200" s="494"/>
      <c r="N200" s="494"/>
      <c r="O200" s="494"/>
      <c r="P200" s="494"/>
      <c r="Q200" s="494"/>
      <c r="R200" s="494"/>
      <c r="S200" s="494"/>
      <c r="T200" s="494"/>
    </row>
    <row r="201" spans="1:20">
      <c r="A201" s="203"/>
      <c r="B201" s="204">
        <v>11040</v>
      </c>
      <c r="C201" s="492">
        <v>9101.94</v>
      </c>
      <c r="D201" s="492"/>
      <c r="E201" s="492"/>
      <c r="F201" s="492">
        <v>9101.94</v>
      </c>
      <c r="G201" s="492"/>
      <c r="H201" s="492"/>
      <c r="I201" s="492">
        <v>9101.94</v>
      </c>
      <c r="J201" s="492"/>
      <c r="K201" s="492">
        <v>9101.94</v>
      </c>
      <c r="L201" s="492"/>
      <c r="M201" s="492">
        <v>9101.94</v>
      </c>
      <c r="N201" s="492"/>
      <c r="O201" s="204">
        <v>9101.94</v>
      </c>
      <c r="P201" s="492">
        <v>1938.06</v>
      </c>
      <c r="Q201" s="492"/>
      <c r="R201" s="492">
        <v>0</v>
      </c>
      <c r="S201" s="492"/>
      <c r="T201" s="204">
        <v>0</v>
      </c>
    </row>
    <row r="202" spans="1:20">
      <c r="A202" s="474" t="s">
        <v>574</v>
      </c>
      <c r="B202" s="474"/>
      <c r="C202" s="474"/>
      <c r="D202" s="474"/>
      <c r="E202" s="474"/>
      <c r="F202" s="474"/>
      <c r="G202" s="474"/>
      <c r="H202" s="474"/>
      <c r="I202" s="474"/>
      <c r="J202" s="474"/>
      <c r="K202" s="474"/>
      <c r="L202" s="474"/>
      <c r="M202" s="474"/>
      <c r="N202" s="474"/>
      <c r="O202" s="474"/>
      <c r="P202" s="474"/>
      <c r="Q202" s="474"/>
      <c r="R202" s="474"/>
      <c r="S202" s="474"/>
      <c r="T202" s="474"/>
    </row>
    <row r="203" spans="1:20">
      <c r="A203" s="205"/>
      <c r="B203" s="206">
        <v>685</v>
      </c>
      <c r="C203" s="493">
        <v>650</v>
      </c>
      <c r="D203" s="493"/>
      <c r="E203" s="493"/>
      <c r="F203" s="493">
        <v>650</v>
      </c>
      <c r="G203" s="493"/>
      <c r="H203" s="493"/>
      <c r="I203" s="493">
        <v>650</v>
      </c>
      <c r="J203" s="493"/>
      <c r="K203" s="493">
        <v>650</v>
      </c>
      <c r="L203" s="493"/>
      <c r="M203" s="493">
        <v>650</v>
      </c>
      <c r="N203" s="493"/>
      <c r="O203" s="206">
        <v>650</v>
      </c>
      <c r="P203" s="493">
        <v>35</v>
      </c>
      <c r="Q203" s="493"/>
      <c r="R203" s="493">
        <v>0</v>
      </c>
      <c r="S203" s="493"/>
      <c r="T203" s="206">
        <v>0</v>
      </c>
    </row>
    <row r="204" spans="1:20">
      <c r="A204" s="471" t="s">
        <v>575</v>
      </c>
      <c r="B204" s="471"/>
      <c r="C204" s="471"/>
      <c r="D204" s="471"/>
      <c r="E204" s="471"/>
      <c r="F204" s="471"/>
      <c r="G204" s="471"/>
      <c r="H204" s="471"/>
      <c r="I204" s="471"/>
      <c r="J204" s="471"/>
      <c r="K204" s="471"/>
      <c r="L204" s="471"/>
      <c r="M204" s="471"/>
      <c r="N204" s="471"/>
      <c r="O204" s="471"/>
      <c r="P204" s="471"/>
      <c r="Q204" s="471"/>
      <c r="R204" s="471"/>
      <c r="S204" s="471"/>
      <c r="T204" s="471"/>
    </row>
    <row r="205" spans="1:20">
      <c r="A205" s="203"/>
      <c r="B205" s="204">
        <v>685</v>
      </c>
      <c r="C205" s="492">
        <v>650</v>
      </c>
      <c r="D205" s="492"/>
      <c r="E205" s="492"/>
      <c r="F205" s="492">
        <v>650</v>
      </c>
      <c r="G205" s="492"/>
      <c r="H205" s="492"/>
      <c r="I205" s="492">
        <v>650</v>
      </c>
      <c r="J205" s="492"/>
      <c r="K205" s="492">
        <v>650</v>
      </c>
      <c r="L205" s="492"/>
      <c r="M205" s="492">
        <v>650</v>
      </c>
      <c r="N205" s="492"/>
      <c r="O205" s="204">
        <v>650</v>
      </c>
      <c r="P205" s="492">
        <v>35</v>
      </c>
      <c r="Q205" s="492"/>
      <c r="R205" s="492">
        <v>0</v>
      </c>
      <c r="S205" s="492"/>
      <c r="T205" s="204">
        <v>0</v>
      </c>
    </row>
    <row r="206" spans="1:20">
      <c r="A206" s="495" t="s">
        <v>576</v>
      </c>
      <c r="B206" s="495"/>
      <c r="C206" s="495"/>
      <c r="D206" s="495"/>
      <c r="E206" s="495"/>
      <c r="F206" s="495"/>
      <c r="G206" s="495"/>
      <c r="H206" s="495"/>
      <c r="I206" s="495"/>
      <c r="J206" s="495"/>
      <c r="K206" s="495"/>
      <c r="L206" s="495"/>
      <c r="M206" s="495"/>
      <c r="N206" s="495"/>
      <c r="O206" s="495"/>
      <c r="P206" s="495"/>
      <c r="Q206" s="495"/>
      <c r="R206" s="495"/>
      <c r="S206" s="495"/>
      <c r="T206" s="495"/>
    </row>
    <row r="207" spans="1:20">
      <c r="A207" s="205"/>
      <c r="B207" s="206">
        <v>35</v>
      </c>
      <c r="C207" s="493">
        <v>0</v>
      </c>
      <c r="D207" s="493"/>
      <c r="E207" s="493"/>
      <c r="F207" s="493">
        <v>0</v>
      </c>
      <c r="G207" s="493"/>
      <c r="H207" s="493"/>
      <c r="I207" s="493">
        <v>0</v>
      </c>
      <c r="J207" s="493"/>
      <c r="K207" s="493">
        <v>0</v>
      </c>
      <c r="L207" s="493"/>
      <c r="M207" s="493">
        <v>0</v>
      </c>
      <c r="N207" s="493"/>
      <c r="O207" s="206">
        <v>0</v>
      </c>
      <c r="P207" s="493">
        <v>35</v>
      </c>
      <c r="Q207" s="493"/>
      <c r="R207" s="493">
        <v>0</v>
      </c>
      <c r="S207" s="493"/>
      <c r="T207" s="206">
        <v>0</v>
      </c>
    </row>
    <row r="208" spans="1:20">
      <c r="A208" s="494" t="s">
        <v>577</v>
      </c>
      <c r="B208" s="494"/>
      <c r="C208" s="494"/>
      <c r="D208" s="494"/>
      <c r="E208" s="494"/>
      <c r="F208" s="494"/>
      <c r="G208" s="494"/>
      <c r="H208" s="494"/>
      <c r="I208" s="494"/>
      <c r="J208" s="494"/>
      <c r="K208" s="494"/>
      <c r="L208" s="494"/>
      <c r="M208" s="494"/>
      <c r="N208" s="494"/>
      <c r="O208" s="494"/>
      <c r="P208" s="494"/>
      <c r="Q208" s="494"/>
      <c r="R208" s="494"/>
      <c r="S208" s="494"/>
      <c r="T208" s="494"/>
    </row>
    <row r="209" spans="1:20">
      <c r="A209" s="203"/>
      <c r="B209" s="204">
        <v>650</v>
      </c>
      <c r="C209" s="492">
        <v>650</v>
      </c>
      <c r="D209" s="492"/>
      <c r="E209" s="492"/>
      <c r="F209" s="492">
        <v>650</v>
      </c>
      <c r="G209" s="492"/>
      <c r="H209" s="492"/>
      <c r="I209" s="492">
        <v>650</v>
      </c>
      <c r="J209" s="492"/>
      <c r="K209" s="492">
        <v>650</v>
      </c>
      <c r="L209" s="492"/>
      <c r="M209" s="492">
        <v>650</v>
      </c>
      <c r="N209" s="492"/>
      <c r="O209" s="204">
        <v>650</v>
      </c>
      <c r="P209" s="492">
        <v>0</v>
      </c>
      <c r="Q209" s="492"/>
      <c r="R209" s="492">
        <v>0</v>
      </c>
      <c r="S209" s="492"/>
      <c r="T209" s="204">
        <v>0</v>
      </c>
    </row>
    <row r="210" spans="1:20">
      <c r="A210" s="474" t="s">
        <v>580</v>
      </c>
      <c r="B210" s="474"/>
      <c r="C210" s="474"/>
      <c r="D210" s="474"/>
      <c r="E210" s="474"/>
      <c r="F210" s="474"/>
      <c r="G210" s="474"/>
      <c r="H210" s="474"/>
      <c r="I210" s="474"/>
      <c r="J210" s="474"/>
      <c r="K210" s="474"/>
      <c r="L210" s="474"/>
      <c r="M210" s="474"/>
      <c r="N210" s="474"/>
      <c r="O210" s="474"/>
      <c r="P210" s="474"/>
      <c r="Q210" s="474"/>
      <c r="R210" s="474"/>
      <c r="S210" s="474"/>
      <c r="T210" s="474"/>
    </row>
    <row r="211" spans="1:20">
      <c r="A211" s="205"/>
      <c r="B211" s="206">
        <v>26904.6</v>
      </c>
      <c r="C211" s="493">
        <v>26904.6</v>
      </c>
      <c r="D211" s="493"/>
      <c r="E211" s="493"/>
      <c r="F211" s="493">
        <v>26904.6</v>
      </c>
      <c r="G211" s="493"/>
      <c r="H211" s="493"/>
      <c r="I211" s="493">
        <v>26904.6</v>
      </c>
      <c r="J211" s="493"/>
      <c r="K211" s="493">
        <v>26904.6</v>
      </c>
      <c r="L211" s="493"/>
      <c r="M211" s="493">
        <v>26904.6</v>
      </c>
      <c r="N211" s="493"/>
      <c r="O211" s="206">
        <v>26904.6</v>
      </c>
      <c r="P211" s="493">
        <v>0</v>
      </c>
      <c r="Q211" s="493"/>
      <c r="R211" s="493">
        <v>0</v>
      </c>
      <c r="S211" s="493"/>
      <c r="T211" s="206">
        <v>0</v>
      </c>
    </row>
    <row r="212" spans="1:20">
      <c r="A212" s="471" t="s">
        <v>581</v>
      </c>
      <c r="B212" s="471"/>
      <c r="C212" s="471"/>
      <c r="D212" s="471"/>
      <c r="E212" s="471"/>
      <c r="F212" s="471"/>
      <c r="G212" s="471"/>
      <c r="H212" s="471"/>
      <c r="I212" s="471"/>
      <c r="J212" s="471"/>
      <c r="K212" s="471"/>
      <c r="L212" s="471"/>
      <c r="M212" s="471"/>
      <c r="N212" s="471"/>
      <c r="O212" s="471"/>
      <c r="P212" s="471"/>
      <c r="Q212" s="471"/>
      <c r="R212" s="471"/>
      <c r="S212" s="471"/>
      <c r="T212" s="471"/>
    </row>
    <row r="213" spans="1:20">
      <c r="A213" s="203"/>
      <c r="B213" s="204">
        <v>26079.599999999999</v>
      </c>
      <c r="C213" s="492">
        <v>26079.599999999999</v>
      </c>
      <c r="D213" s="492"/>
      <c r="E213" s="492"/>
      <c r="F213" s="492">
        <v>26079.599999999999</v>
      </c>
      <c r="G213" s="492"/>
      <c r="H213" s="492"/>
      <c r="I213" s="492">
        <v>26079.599999999999</v>
      </c>
      <c r="J213" s="492"/>
      <c r="K213" s="492">
        <v>26079.599999999999</v>
      </c>
      <c r="L213" s="492"/>
      <c r="M213" s="492">
        <v>26079.599999999999</v>
      </c>
      <c r="N213" s="492"/>
      <c r="O213" s="204">
        <v>26079.599999999999</v>
      </c>
      <c r="P213" s="492">
        <v>0</v>
      </c>
      <c r="Q213" s="492"/>
      <c r="R213" s="492">
        <v>0</v>
      </c>
      <c r="S213" s="492"/>
      <c r="T213" s="204">
        <v>0</v>
      </c>
    </row>
    <row r="214" spans="1:20">
      <c r="A214" s="495" t="s">
        <v>582</v>
      </c>
      <c r="B214" s="495"/>
      <c r="C214" s="495"/>
      <c r="D214" s="495"/>
      <c r="E214" s="495"/>
      <c r="F214" s="495"/>
      <c r="G214" s="495"/>
      <c r="H214" s="495"/>
      <c r="I214" s="495"/>
      <c r="J214" s="495"/>
      <c r="K214" s="495"/>
      <c r="L214" s="495"/>
      <c r="M214" s="495"/>
      <c r="N214" s="495"/>
      <c r="O214" s="495"/>
      <c r="P214" s="495"/>
      <c r="Q214" s="495"/>
      <c r="R214" s="495"/>
      <c r="S214" s="495"/>
      <c r="T214" s="495"/>
    </row>
    <row r="215" spans="1:20">
      <c r="A215" s="205"/>
      <c r="B215" s="206">
        <v>19880</v>
      </c>
      <c r="C215" s="493">
        <v>19880</v>
      </c>
      <c r="D215" s="493"/>
      <c r="E215" s="493"/>
      <c r="F215" s="493">
        <v>19880</v>
      </c>
      <c r="G215" s="493"/>
      <c r="H215" s="493"/>
      <c r="I215" s="493">
        <v>19880</v>
      </c>
      <c r="J215" s="493"/>
      <c r="K215" s="493">
        <v>19880</v>
      </c>
      <c r="L215" s="493"/>
      <c r="M215" s="493">
        <v>19880</v>
      </c>
      <c r="N215" s="493"/>
      <c r="O215" s="206">
        <v>19880</v>
      </c>
      <c r="P215" s="493">
        <v>0</v>
      </c>
      <c r="Q215" s="493"/>
      <c r="R215" s="493">
        <v>0</v>
      </c>
      <c r="S215" s="493"/>
      <c r="T215" s="206">
        <v>0</v>
      </c>
    </row>
    <row r="216" spans="1:20">
      <c r="A216" s="494" t="s">
        <v>583</v>
      </c>
      <c r="B216" s="494"/>
      <c r="C216" s="494"/>
      <c r="D216" s="494"/>
      <c r="E216" s="494"/>
      <c r="F216" s="494"/>
      <c r="G216" s="494"/>
      <c r="H216" s="494"/>
      <c r="I216" s="494"/>
      <c r="J216" s="494"/>
      <c r="K216" s="494"/>
      <c r="L216" s="494"/>
      <c r="M216" s="494"/>
      <c r="N216" s="494"/>
      <c r="O216" s="494"/>
      <c r="P216" s="494"/>
      <c r="Q216" s="494"/>
      <c r="R216" s="494"/>
      <c r="S216" s="494"/>
      <c r="T216" s="494"/>
    </row>
    <row r="217" spans="1:20">
      <c r="A217" s="203"/>
      <c r="B217" s="204">
        <v>6199.6</v>
      </c>
      <c r="C217" s="492">
        <v>6199.6</v>
      </c>
      <c r="D217" s="492"/>
      <c r="E217" s="492"/>
      <c r="F217" s="492">
        <v>6199.6</v>
      </c>
      <c r="G217" s="492"/>
      <c r="H217" s="492"/>
      <c r="I217" s="492">
        <v>6199.6</v>
      </c>
      <c r="J217" s="492"/>
      <c r="K217" s="492">
        <v>6199.6</v>
      </c>
      <c r="L217" s="492"/>
      <c r="M217" s="492">
        <v>6199.6</v>
      </c>
      <c r="N217" s="492"/>
      <c r="O217" s="204">
        <v>6199.6</v>
      </c>
      <c r="P217" s="492">
        <v>0</v>
      </c>
      <c r="Q217" s="492"/>
      <c r="R217" s="492">
        <v>0</v>
      </c>
      <c r="S217" s="492"/>
      <c r="T217" s="204">
        <v>0</v>
      </c>
    </row>
    <row r="218" spans="1:20">
      <c r="A218" s="474" t="s">
        <v>584</v>
      </c>
      <c r="B218" s="474"/>
      <c r="C218" s="474"/>
      <c r="D218" s="474"/>
      <c r="E218" s="474"/>
      <c r="F218" s="474"/>
      <c r="G218" s="474"/>
      <c r="H218" s="474"/>
      <c r="I218" s="474"/>
      <c r="J218" s="474"/>
      <c r="K218" s="474"/>
      <c r="L218" s="474"/>
      <c r="M218" s="474"/>
      <c r="N218" s="474"/>
      <c r="O218" s="474"/>
      <c r="P218" s="474"/>
      <c r="Q218" s="474"/>
      <c r="R218" s="474"/>
      <c r="S218" s="474"/>
      <c r="T218" s="474"/>
    </row>
    <row r="219" spans="1:20">
      <c r="A219" s="205"/>
      <c r="B219" s="206">
        <v>825</v>
      </c>
      <c r="C219" s="493">
        <v>825</v>
      </c>
      <c r="D219" s="493"/>
      <c r="E219" s="493"/>
      <c r="F219" s="493">
        <v>825</v>
      </c>
      <c r="G219" s="493"/>
      <c r="H219" s="493"/>
      <c r="I219" s="493">
        <v>825</v>
      </c>
      <c r="J219" s="493"/>
      <c r="K219" s="493">
        <v>825</v>
      </c>
      <c r="L219" s="493"/>
      <c r="M219" s="493">
        <v>825</v>
      </c>
      <c r="N219" s="493"/>
      <c r="O219" s="206">
        <v>825</v>
      </c>
      <c r="P219" s="493">
        <v>0</v>
      </c>
      <c r="Q219" s="493"/>
      <c r="R219" s="493">
        <v>0</v>
      </c>
      <c r="S219" s="493"/>
      <c r="T219" s="206">
        <v>0</v>
      </c>
    </row>
    <row r="220" spans="1:20">
      <c r="A220" s="494" t="s">
        <v>585</v>
      </c>
      <c r="B220" s="494"/>
      <c r="C220" s="494"/>
      <c r="D220" s="494"/>
      <c r="E220" s="494"/>
      <c r="F220" s="494"/>
      <c r="G220" s="494"/>
      <c r="H220" s="494"/>
      <c r="I220" s="494"/>
      <c r="J220" s="494"/>
      <c r="K220" s="494"/>
      <c r="L220" s="494"/>
      <c r="M220" s="494"/>
      <c r="N220" s="494"/>
      <c r="O220" s="494"/>
      <c r="P220" s="494"/>
      <c r="Q220" s="494"/>
      <c r="R220" s="494"/>
      <c r="S220" s="494"/>
      <c r="T220" s="494"/>
    </row>
    <row r="221" spans="1:20">
      <c r="A221" s="203"/>
      <c r="B221" s="204">
        <v>825</v>
      </c>
      <c r="C221" s="492">
        <v>825</v>
      </c>
      <c r="D221" s="492"/>
      <c r="E221" s="492"/>
      <c r="F221" s="492">
        <v>825</v>
      </c>
      <c r="G221" s="492"/>
      <c r="H221" s="492"/>
      <c r="I221" s="492">
        <v>825</v>
      </c>
      <c r="J221" s="492"/>
      <c r="K221" s="492">
        <v>825</v>
      </c>
      <c r="L221" s="492"/>
      <c r="M221" s="492">
        <v>825</v>
      </c>
      <c r="N221" s="492"/>
      <c r="O221" s="204">
        <v>825</v>
      </c>
      <c r="P221" s="492">
        <v>0</v>
      </c>
      <c r="Q221" s="492"/>
      <c r="R221" s="492">
        <v>0</v>
      </c>
      <c r="S221" s="492"/>
      <c r="T221" s="204">
        <v>0</v>
      </c>
    </row>
    <row r="222" spans="1:20">
      <c r="A222" s="474" t="s">
        <v>586</v>
      </c>
      <c r="B222" s="474"/>
      <c r="C222" s="474"/>
      <c r="D222" s="474"/>
      <c r="E222" s="474"/>
      <c r="F222" s="474"/>
      <c r="G222" s="474"/>
      <c r="H222" s="474"/>
      <c r="I222" s="474"/>
      <c r="J222" s="474"/>
      <c r="K222" s="474"/>
      <c r="L222" s="474"/>
      <c r="M222" s="474"/>
      <c r="N222" s="474"/>
      <c r="O222" s="474"/>
      <c r="P222" s="474"/>
      <c r="Q222" s="474"/>
      <c r="R222" s="474"/>
      <c r="S222" s="474"/>
      <c r="T222" s="474"/>
    </row>
    <row r="223" spans="1:20">
      <c r="A223" s="205"/>
      <c r="B223" s="206">
        <v>124645.28</v>
      </c>
      <c r="C223" s="493">
        <v>96957.93</v>
      </c>
      <c r="D223" s="493"/>
      <c r="E223" s="493"/>
      <c r="F223" s="493">
        <v>96957.93</v>
      </c>
      <c r="G223" s="493"/>
      <c r="H223" s="493"/>
      <c r="I223" s="493">
        <v>96957.93</v>
      </c>
      <c r="J223" s="493"/>
      <c r="K223" s="493">
        <v>96957.93</v>
      </c>
      <c r="L223" s="493"/>
      <c r="M223" s="493">
        <v>87047.84</v>
      </c>
      <c r="N223" s="493"/>
      <c r="O223" s="206">
        <v>87047.84</v>
      </c>
      <c r="P223" s="493">
        <v>27687.35</v>
      </c>
      <c r="Q223" s="493"/>
      <c r="R223" s="493">
        <v>0</v>
      </c>
      <c r="S223" s="493"/>
      <c r="T223" s="206">
        <v>9910.09</v>
      </c>
    </row>
    <row r="224" spans="1:20">
      <c r="A224" s="471" t="s">
        <v>587</v>
      </c>
      <c r="B224" s="471"/>
      <c r="C224" s="471"/>
      <c r="D224" s="471"/>
      <c r="E224" s="471"/>
      <c r="F224" s="471"/>
      <c r="G224" s="471"/>
      <c r="H224" s="471"/>
      <c r="I224" s="471"/>
      <c r="J224" s="471"/>
      <c r="K224" s="471"/>
      <c r="L224" s="471"/>
      <c r="M224" s="471"/>
      <c r="N224" s="471"/>
      <c r="O224" s="471"/>
      <c r="P224" s="471"/>
      <c r="Q224" s="471"/>
      <c r="R224" s="471"/>
      <c r="S224" s="471"/>
      <c r="T224" s="471"/>
    </row>
    <row r="225" spans="1:20">
      <c r="A225" s="203"/>
      <c r="B225" s="204">
        <v>67301</v>
      </c>
      <c r="C225" s="492">
        <v>66861.100000000006</v>
      </c>
      <c r="D225" s="492"/>
      <c r="E225" s="492"/>
      <c r="F225" s="492">
        <v>66861.100000000006</v>
      </c>
      <c r="G225" s="492"/>
      <c r="H225" s="492"/>
      <c r="I225" s="492">
        <v>66861.100000000006</v>
      </c>
      <c r="J225" s="492"/>
      <c r="K225" s="492">
        <v>66861.100000000006</v>
      </c>
      <c r="L225" s="492"/>
      <c r="M225" s="492">
        <v>57703.199999999997</v>
      </c>
      <c r="N225" s="492"/>
      <c r="O225" s="204">
        <v>57703.199999999997</v>
      </c>
      <c r="P225" s="492">
        <v>439.9</v>
      </c>
      <c r="Q225" s="492"/>
      <c r="R225" s="492">
        <v>0</v>
      </c>
      <c r="S225" s="492"/>
      <c r="T225" s="204">
        <v>9157.9</v>
      </c>
    </row>
    <row r="226" spans="1:20">
      <c r="A226" s="495" t="s">
        <v>588</v>
      </c>
      <c r="B226" s="495"/>
      <c r="C226" s="495"/>
      <c r="D226" s="495"/>
      <c r="E226" s="495"/>
      <c r="F226" s="495"/>
      <c r="G226" s="495"/>
      <c r="H226" s="495"/>
      <c r="I226" s="495"/>
      <c r="J226" s="495"/>
      <c r="K226" s="495"/>
      <c r="L226" s="495"/>
      <c r="M226" s="495"/>
      <c r="N226" s="495"/>
      <c r="O226" s="495"/>
      <c r="P226" s="495"/>
      <c r="Q226" s="495"/>
      <c r="R226" s="495"/>
      <c r="S226" s="495"/>
      <c r="T226" s="495"/>
    </row>
    <row r="227" spans="1:20">
      <c r="A227" s="205"/>
      <c r="B227" s="206">
        <v>60361</v>
      </c>
      <c r="C227" s="493">
        <v>59921.1</v>
      </c>
      <c r="D227" s="493"/>
      <c r="E227" s="493"/>
      <c r="F227" s="493">
        <v>59921.1</v>
      </c>
      <c r="G227" s="493"/>
      <c r="H227" s="493"/>
      <c r="I227" s="493">
        <v>59921.1</v>
      </c>
      <c r="J227" s="493"/>
      <c r="K227" s="493">
        <v>59921.1</v>
      </c>
      <c r="L227" s="493"/>
      <c r="M227" s="493">
        <v>54763.199999999997</v>
      </c>
      <c r="N227" s="493"/>
      <c r="O227" s="206">
        <v>54763.199999999997</v>
      </c>
      <c r="P227" s="493">
        <v>439.9</v>
      </c>
      <c r="Q227" s="493"/>
      <c r="R227" s="493">
        <v>0</v>
      </c>
      <c r="S227" s="493"/>
      <c r="T227" s="206">
        <v>5157.8999999999996</v>
      </c>
    </row>
    <row r="228" spans="1:20">
      <c r="A228" s="494" t="s">
        <v>589</v>
      </c>
      <c r="B228" s="494"/>
      <c r="C228" s="494"/>
      <c r="D228" s="494"/>
      <c r="E228" s="494"/>
      <c r="F228" s="494"/>
      <c r="G228" s="494"/>
      <c r="H228" s="494"/>
      <c r="I228" s="494"/>
      <c r="J228" s="494"/>
      <c r="K228" s="494"/>
      <c r="L228" s="494"/>
      <c r="M228" s="494"/>
      <c r="N228" s="494"/>
      <c r="O228" s="494"/>
      <c r="P228" s="494"/>
      <c r="Q228" s="494"/>
      <c r="R228" s="494"/>
      <c r="S228" s="494"/>
      <c r="T228" s="494"/>
    </row>
    <row r="229" spans="1:20">
      <c r="A229" s="203"/>
      <c r="B229" s="204">
        <v>6940</v>
      </c>
      <c r="C229" s="492">
        <v>6940</v>
      </c>
      <c r="D229" s="492"/>
      <c r="E229" s="492"/>
      <c r="F229" s="492">
        <v>6940</v>
      </c>
      <c r="G229" s="492"/>
      <c r="H229" s="492"/>
      <c r="I229" s="492">
        <v>6940</v>
      </c>
      <c r="J229" s="492"/>
      <c r="K229" s="492">
        <v>6940</v>
      </c>
      <c r="L229" s="492"/>
      <c r="M229" s="492">
        <v>2940</v>
      </c>
      <c r="N229" s="492"/>
      <c r="O229" s="204">
        <v>2940</v>
      </c>
      <c r="P229" s="492">
        <v>0</v>
      </c>
      <c r="Q229" s="492"/>
      <c r="R229" s="492">
        <v>0</v>
      </c>
      <c r="S229" s="492"/>
      <c r="T229" s="204">
        <v>4000</v>
      </c>
    </row>
    <row r="230" spans="1:20">
      <c r="A230" s="474" t="s">
        <v>593</v>
      </c>
      <c r="B230" s="474"/>
      <c r="C230" s="474"/>
      <c r="D230" s="474"/>
      <c r="E230" s="474"/>
      <c r="F230" s="474"/>
      <c r="G230" s="474"/>
      <c r="H230" s="474"/>
      <c r="I230" s="474"/>
      <c r="J230" s="474"/>
      <c r="K230" s="474"/>
      <c r="L230" s="474"/>
      <c r="M230" s="474"/>
      <c r="N230" s="474"/>
      <c r="O230" s="474"/>
      <c r="P230" s="474"/>
      <c r="Q230" s="474"/>
      <c r="R230" s="474"/>
      <c r="S230" s="474"/>
      <c r="T230" s="474"/>
    </row>
    <row r="231" spans="1:20">
      <c r="A231" s="205"/>
      <c r="B231" s="206">
        <v>54073.98</v>
      </c>
      <c r="C231" s="493">
        <v>26826.53</v>
      </c>
      <c r="D231" s="493"/>
      <c r="E231" s="493"/>
      <c r="F231" s="493">
        <v>26826.53</v>
      </c>
      <c r="G231" s="493"/>
      <c r="H231" s="493"/>
      <c r="I231" s="493">
        <v>26826.53</v>
      </c>
      <c r="J231" s="493"/>
      <c r="K231" s="493">
        <v>26826.53</v>
      </c>
      <c r="L231" s="493"/>
      <c r="M231" s="493">
        <v>26074.34</v>
      </c>
      <c r="N231" s="493"/>
      <c r="O231" s="206">
        <v>26074.34</v>
      </c>
      <c r="P231" s="493">
        <v>27247.45</v>
      </c>
      <c r="Q231" s="493"/>
      <c r="R231" s="493">
        <v>0</v>
      </c>
      <c r="S231" s="493"/>
      <c r="T231" s="206">
        <v>752.19</v>
      </c>
    </row>
    <row r="232" spans="1:20">
      <c r="A232" s="494" t="s">
        <v>597</v>
      </c>
      <c r="B232" s="494"/>
      <c r="C232" s="494"/>
      <c r="D232" s="494"/>
      <c r="E232" s="494"/>
      <c r="F232" s="494"/>
      <c r="G232" s="494"/>
      <c r="H232" s="494"/>
      <c r="I232" s="494"/>
      <c r="J232" s="494"/>
      <c r="K232" s="494"/>
      <c r="L232" s="494"/>
      <c r="M232" s="494"/>
      <c r="N232" s="494"/>
      <c r="O232" s="494"/>
      <c r="P232" s="494"/>
      <c r="Q232" s="494"/>
      <c r="R232" s="494"/>
      <c r="S232" s="494"/>
      <c r="T232" s="494"/>
    </row>
    <row r="233" spans="1:20">
      <c r="A233" s="203"/>
      <c r="B233" s="204">
        <v>700</v>
      </c>
      <c r="C233" s="492">
        <v>685.63</v>
      </c>
      <c r="D233" s="492"/>
      <c r="E233" s="492"/>
      <c r="F233" s="492">
        <v>685.63</v>
      </c>
      <c r="G233" s="492"/>
      <c r="H233" s="492"/>
      <c r="I233" s="492">
        <v>685.63</v>
      </c>
      <c r="J233" s="492"/>
      <c r="K233" s="492">
        <v>685.63</v>
      </c>
      <c r="L233" s="492"/>
      <c r="M233" s="492">
        <v>685.63</v>
      </c>
      <c r="N233" s="492"/>
      <c r="O233" s="204">
        <v>685.63</v>
      </c>
      <c r="P233" s="492">
        <v>14.37</v>
      </c>
      <c r="Q233" s="492"/>
      <c r="R233" s="492">
        <v>0</v>
      </c>
      <c r="S233" s="492"/>
      <c r="T233" s="204">
        <v>0</v>
      </c>
    </row>
    <row r="234" spans="1:20">
      <c r="A234" s="495" t="s">
        <v>598</v>
      </c>
      <c r="B234" s="495"/>
      <c r="C234" s="495"/>
      <c r="D234" s="495"/>
      <c r="E234" s="495"/>
      <c r="F234" s="495"/>
      <c r="G234" s="495"/>
      <c r="H234" s="495"/>
      <c r="I234" s="495"/>
      <c r="J234" s="495"/>
      <c r="K234" s="495"/>
      <c r="L234" s="495"/>
      <c r="M234" s="495"/>
      <c r="N234" s="495"/>
      <c r="O234" s="495"/>
      <c r="P234" s="495"/>
      <c r="Q234" s="495"/>
      <c r="R234" s="495"/>
      <c r="S234" s="495"/>
      <c r="T234" s="495"/>
    </row>
    <row r="235" spans="1:20">
      <c r="A235" s="205"/>
      <c r="B235" s="206">
        <v>26938.61</v>
      </c>
      <c r="C235" s="493">
        <v>5012.28</v>
      </c>
      <c r="D235" s="493"/>
      <c r="E235" s="493"/>
      <c r="F235" s="493">
        <v>5012.28</v>
      </c>
      <c r="G235" s="493"/>
      <c r="H235" s="493"/>
      <c r="I235" s="493">
        <v>5012.28</v>
      </c>
      <c r="J235" s="493"/>
      <c r="K235" s="493">
        <v>5012.28</v>
      </c>
      <c r="L235" s="493"/>
      <c r="M235" s="493">
        <v>5012.28</v>
      </c>
      <c r="N235" s="493"/>
      <c r="O235" s="206">
        <v>5012.28</v>
      </c>
      <c r="P235" s="493">
        <v>21926.33</v>
      </c>
      <c r="Q235" s="493"/>
      <c r="R235" s="493">
        <v>0</v>
      </c>
      <c r="S235" s="493"/>
      <c r="T235" s="206">
        <v>0</v>
      </c>
    </row>
    <row r="236" spans="1:20">
      <c r="A236" s="494" t="s">
        <v>599</v>
      </c>
      <c r="B236" s="494"/>
      <c r="C236" s="494"/>
      <c r="D236" s="494"/>
      <c r="E236" s="494"/>
      <c r="F236" s="494"/>
      <c r="G236" s="494"/>
      <c r="H236" s="494"/>
      <c r="I236" s="494"/>
      <c r="J236" s="494"/>
      <c r="K236" s="494"/>
      <c r="L236" s="494"/>
      <c r="M236" s="494"/>
      <c r="N236" s="494"/>
      <c r="O236" s="494"/>
      <c r="P236" s="494"/>
      <c r="Q236" s="494"/>
      <c r="R236" s="494"/>
      <c r="S236" s="494"/>
      <c r="T236" s="494"/>
    </row>
    <row r="237" spans="1:20">
      <c r="A237" s="203"/>
      <c r="B237" s="204">
        <v>1200</v>
      </c>
      <c r="C237" s="492">
        <v>0</v>
      </c>
      <c r="D237" s="492"/>
      <c r="E237" s="492"/>
      <c r="F237" s="492">
        <v>0</v>
      </c>
      <c r="G237" s="492"/>
      <c r="H237" s="492"/>
      <c r="I237" s="492">
        <v>0</v>
      </c>
      <c r="J237" s="492"/>
      <c r="K237" s="492">
        <v>0</v>
      </c>
      <c r="L237" s="492"/>
      <c r="M237" s="492">
        <v>0</v>
      </c>
      <c r="N237" s="492"/>
      <c r="O237" s="204">
        <v>0</v>
      </c>
      <c r="P237" s="492">
        <v>1200</v>
      </c>
      <c r="Q237" s="492"/>
      <c r="R237" s="492">
        <v>0</v>
      </c>
      <c r="S237" s="492"/>
      <c r="T237" s="204">
        <v>0</v>
      </c>
    </row>
    <row r="238" spans="1:20">
      <c r="A238" s="495" t="s">
        <v>601</v>
      </c>
      <c r="B238" s="495"/>
      <c r="C238" s="495"/>
      <c r="D238" s="495"/>
      <c r="E238" s="495"/>
      <c r="F238" s="495"/>
      <c r="G238" s="495"/>
      <c r="H238" s="495"/>
      <c r="I238" s="495"/>
      <c r="J238" s="495"/>
      <c r="K238" s="495"/>
      <c r="L238" s="495"/>
      <c r="M238" s="495"/>
      <c r="N238" s="495"/>
      <c r="O238" s="495"/>
      <c r="P238" s="495"/>
      <c r="Q238" s="495"/>
      <c r="R238" s="495"/>
      <c r="S238" s="495"/>
      <c r="T238" s="495"/>
    </row>
    <row r="239" spans="1:20">
      <c r="A239" s="205"/>
      <c r="B239" s="206">
        <v>550</v>
      </c>
      <c r="C239" s="493">
        <v>550</v>
      </c>
      <c r="D239" s="493"/>
      <c r="E239" s="493"/>
      <c r="F239" s="493">
        <v>550</v>
      </c>
      <c r="G239" s="493"/>
      <c r="H239" s="493"/>
      <c r="I239" s="493">
        <v>550</v>
      </c>
      <c r="J239" s="493"/>
      <c r="K239" s="493">
        <v>550</v>
      </c>
      <c r="L239" s="493"/>
      <c r="M239" s="493">
        <v>550</v>
      </c>
      <c r="N239" s="493"/>
      <c r="O239" s="206">
        <v>550</v>
      </c>
      <c r="P239" s="493">
        <v>0</v>
      </c>
      <c r="Q239" s="493"/>
      <c r="R239" s="493">
        <v>0</v>
      </c>
      <c r="S239" s="493"/>
      <c r="T239" s="206">
        <v>0</v>
      </c>
    </row>
    <row r="240" spans="1:20">
      <c r="A240" s="494" t="s">
        <v>604</v>
      </c>
      <c r="B240" s="494"/>
      <c r="C240" s="494"/>
      <c r="D240" s="494"/>
      <c r="E240" s="494"/>
      <c r="F240" s="494"/>
      <c r="G240" s="494"/>
      <c r="H240" s="494"/>
      <c r="I240" s="494"/>
      <c r="J240" s="494"/>
      <c r="K240" s="494"/>
      <c r="L240" s="494"/>
      <c r="M240" s="494"/>
      <c r="N240" s="494"/>
      <c r="O240" s="494"/>
      <c r="P240" s="494"/>
      <c r="Q240" s="494"/>
      <c r="R240" s="494"/>
      <c r="S240" s="494"/>
      <c r="T240" s="494"/>
    </row>
    <row r="241" spans="1:20">
      <c r="A241" s="203"/>
      <c r="B241" s="204">
        <v>3530.4</v>
      </c>
      <c r="C241" s="492">
        <v>3530.4</v>
      </c>
      <c r="D241" s="492"/>
      <c r="E241" s="492"/>
      <c r="F241" s="492">
        <v>3530.4</v>
      </c>
      <c r="G241" s="492"/>
      <c r="H241" s="492"/>
      <c r="I241" s="492">
        <v>3530.4</v>
      </c>
      <c r="J241" s="492"/>
      <c r="K241" s="492">
        <v>3530.4</v>
      </c>
      <c r="L241" s="492"/>
      <c r="M241" s="492">
        <v>3530.4</v>
      </c>
      <c r="N241" s="492"/>
      <c r="O241" s="204">
        <v>3530.4</v>
      </c>
      <c r="P241" s="492">
        <v>0</v>
      </c>
      <c r="Q241" s="492"/>
      <c r="R241" s="492">
        <v>0</v>
      </c>
      <c r="S241" s="492"/>
      <c r="T241" s="204">
        <v>0</v>
      </c>
    </row>
    <row r="242" spans="1:20">
      <c r="A242" s="495" t="s">
        <v>606</v>
      </c>
      <c r="B242" s="495"/>
      <c r="C242" s="495"/>
      <c r="D242" s="495"/>
      <c r="E242" s="495"/>
      <c r="F242" s="495"/>
      <c r="G242" s="495"/>
      <c r="H242" s="495"/>
      <c r="I242" s="495"/>
      <c r="J242" s="495"/>
      <c r="K242" s="495"/>
      <c r="L242" s="495"/>
      <c r="M242" s="495"/>
      <c r="N242" s="495"/>
      <c r="O242" s="495"/>
      <c r="P242" s="495"/>
      <c r="Q242" s="495"/>
      <c r="R242" s="495"/>
      <c r="S242" s="495"/>
      <c r="T242" s="495"/>
    </row>
    <row r="243" spans="1:20">
      <c r="A243" s="205"/>
      <c r="B243" s="206">
        <v>3000</v>
      </c>
      <c r="C243" s="493">
        <v>1201.52</v>
      </c>
      <c r="D243" s="493"/>
      <c r="E243" s="493"/>
      <c r="F243" s="493">
        <v>1201.52</v>
      </c>
      <c r="G243" s="493"/>
      <c r="H243" s="493"/>
      <c r="I243" s="493">
        <v>1201.52</v>
      </c>
      <c r="J243" s="493"/>
      <c r="K243" s="493">
        <v>1201.52</v>
      </c>
      <c r="L243" s="493"/>
      <c r="M243" s="493">
        <v>1201.52</v>
      </c>
      <c r="N243" s="493"/>
      <c r="O243" s="206">
        <v>1201.52</v>
      </c>
      <c r="P243" s="493">
        <v>1798.48</v>
      </c>
      <c r="Q243" s="493"/>
      <c r="R243" s="493">
        <v>0</v>
      </c>
      <c r="S243" s="493"/>
      <c r="T243" s="206">
        <v>0</v>
      </c>
    </row>
    <row r="244" spans="1:20">
      <c r="A244" s="494" t="s">
        <v>608</v>
      </c>
      <c r="B244" s="494"/>
      <c r="C244" s="494"/>
      <c r="D244" s="494"/>
      <c r="E244" s="494"/>
      <c r="F244" s="494"/>
      <c r="G244" s="494"/>
      <c r="H244" s="494"/>
      <c r="I244" s="494"/>
      <c r="J244" s="494"/>
      <c r="K244" s="494"/>
      <c r="L244" s="494"/>
      <c r="M244" s="494"/>
      <c r="N244" s="494"/>
      <c r="O244" s="494"/>
      <c r="P244" s="494"/>
      <c r="Q244" s="494"/>
      <c r="R244" s="494"/>
      <c r="S244" s="494"/>
      <c r="T244" s="494"/>
    </row>
    <row r="245" spans="1:20">
      <c r="A245" s="203"/>
      <c r="B245" s="204">
        <v>10201.26</v>
      </c>
      <c r="C245" s="492">
        <v>10158.74</v>
      </c>
      <c r="D245" s="492"/>
      <c r="E245" s="492"/>
      <c r="F245" s="492">
        <v>10158.74</v>
      </c>
      <c r="G245" s="492"/>
      <c r="H245" s="492"/>
      <c r="I245" s="492">
        <v>10158.74</v>
      </c>
      <c r="J245" s="492"/>
      <c r="K245" s="492">
        <v>10158.74</v>
      </c>
      <c r="L245" s="492"/>
      <c r="M245" s="492">
        <v>9406.5499999999993</v>
      </c>
      <c r="N245" s="492"/>
      <c r="O245" s="204">
        <v>9406.5499999999993</v>
      </c>
      <c r="P245" s="492">
        <v>42.52</v>
      </c>
      <c r="Q245" s="492"/>
      <c r="R245" s="492">
        <v>0</v>
      </c>
      <c r="S245" s="492"/>
      <c r="T245" s="204">
        <v>752.19</v>
      </c>
    </row>
    <row r="246" spans="1:20">
      <c r="A246" s="495" t="s">
        <v>609</v>
      </c>
      <c r="B246" s="495"/>
      <c r="C246" s="495"/>
      <c r="D246" s="495"/>
      <c r="E246" s="495"/>
      <c r="F246" s="495"/>
      <c r="G246" s="495"/>
      <c r="H246" s="495"/>
      <c r="I246" s="495"/>
      <c r="J246" s="495"/>
      <c r="K246" s="495"/>
      <c r="L246" s="495"/>
      <c r="M246" s="495"/>
      <c r="N246" s="495"/>
      <c r="O246" s="495"/>
      <c r="P246" s="495"/>
      <c r="Q246" s="495"/>
      <c r="R246" s="495"/>
      <c r="S246" s="495"/>
      <c r="T246" s="495"/>
    </row>
    <row r="247" spans="1:20">
      <c r="A247" s="205"/>
      <c r="B247" s="206">
        <v>7337.17</v>
      </c>
      <c r="C247" s="493">
        <v>5687.96</v>
      </c>
      <c r="D247" s="493"/>
      <c r="E247" s="493"/>
      <c r="F247" s="493">
        <v>5687.96</v>
      </c>
      <c r="G247" s="493"/>
      <c r="H247" s="493"/>
      <c r="I247" s="493">
        <v>5687.96</v>
      </c>
      <c r="J247" s="493"/>
      <c r="K247" s="493">
        <v>5687.96</v>
      </c>
      <c r="L247" s="493"/>
      <c r="M247" s="493">
        <v>5687.96</v>
      </c>
      <c r="N247" s="493"/>
      <c r="O247" s="206">
        <v>5687.96</v>
      </c>
      <c r="P247" s="493">
        <v>1649.21</v>
      </c>
      <c r="Q247" s="493"/>
      <c r="R247" s="493">
        <v>0</v>
      </c>
      <c r="S247" s="493"/>
      <c r="T247" s="206">
        <v>0</v>
      </c>
    </row>
    <row r="248" spans="1:20">
      <c r="A248" s="494" t="s">
        <v>610</v>
      </c>
      <c r="B248" s="494"/>
      <c r="C248" s="494"/>
      <c r="D248" s="494"/>
      <c r="E248" s="494"/>
      <c r="F248" s="494"/>
      <c r="G248" s="494"/>
      <c r="H248" s="494"/>
      <c r="I248" s="494"/>
      <c r="J248" s="494"/>
      <c r="K248" s="494"/>
      <c r="L248" s="494"/>
      <c r="M248" s="494"/>
      <c r="N248" s="494"/>
      <c r="O248" s="494"/>
      <c r="P248" s="494"/>
      <c r="Q248" s="494"/>
      <c r="R248" s="494"/>
      <c r="S248" s="494"/>
      <c r="T248" s="494"/>
    </row>
    <row r="249" spans="1:20">
      <c r="A249" s="203"/>
      <c r="B249" s="204">
        <v>616.54</v>
      </c>
      <c r="C249" s="492">
        <v>0</v>
      </c>
      <c r="D249" s="492"/>
      <c r="E249" s="492"/>
      <c r="F249" s="492">
        <v>0</v>
      </c>
      <c r="G249" s="492"/>
      <c r="H249" s="492"/>
      <c r="I249" s="492">
        <v>0</v>
      </c>
      <c r="J249" s="492"/>
      <c r="K249" s="492">
        <v>0</v>
      </c>
      <c r="L249" s="492"/>
      <c r="M249" s="492">
        <v>0</v>
      </c>
      <c r="N249" s="492"/>
      <c r="O249" s="204">
        <v>0</v>
      </c>
      <c r="P249" s="492">
        <v>616.54</v>
      </c>
      <c r="Q249" s="492"/>
      <c r="R249" s="492">
        <v>0</v>
      </c>
      <c r="S249" s="492"/>
      <c r="T249" s="204">
        <v>0</v>
      </c>
    </row>
    <row r="250" spans="1:20">
      <c r="A250" s="474" t="s">
        <v>614</v>
      </c>
      <c r="B250" s="474"/>
      <c r="C250" s="474"/>
      <c r="D250" s="474"/>
      <c r="E250" s="474"/>
      <c r="F250" s="474"/>
      <c r="G250" s="474"/>
      <c r="H250" s="474"/>
      <c r="I250" s="474"/>
      <c r="J250" s="474"/>
      <c r="K250" s="474"/>
      <c r="L250" s="474"/>
      <c r="M250" s="474"/>
      <c r="N250" s="474"/>
      <c r="O250" s="474"/>
      <c r="P250" s="474"/>
      <c r="Q250" s="474"/>
      <c r="R250" s="474"/>
      <c r="S250" s="474"/>
      <c r="T250" s="474"/>
    </row>
    <row r="251" spans="1:20">
      <c r="A251" s="205"/>
      <c r="B251" s="206">
        <v>3270.3</v>
      </c>
      <c r="C251" s="493">
        <v>3270.3</v>
      </c>
      <c r="D251" s="493"/>
      <c r="E251" s="493"/>
      <c r="F251" s="493">
        <v>3270.3</v>
      </c>
      <c r="G251" s="493"/>
      <c r="H251" s="493"/>
      <c r="I251" s="493">
        <v>3270.3</v>
      </c>
      <c r="J251" s="493"/>
      <c r="K251" s="493">
        <v>3270.3</v>
      </c>
      <c r="L251" s="493"/>
      <c r="M251" s="493">
        <v>3270.3</v>
      </c>
      <c r="N251" s="493"/>
      <c r="O251" s="206">
        <v>3270.3</v>
      </c>
      <c r="P251" s="493">
        <v>0</v>
      </c>
      <c r="Q251" s="493"/>
      <c r="R251" s="493">
        <v>0</v>
      </c>
      <c r="S251" s="493"/>
      <c r="T251" s="206">
        <v>0</v>
      </c>
    </row>
    <row r="252" spans="1:20">
      <c r="A252" s="494" t="s">
        <v>615</v>
      </c>
      <c r="B252" s="494"/>
      <c r="C252" s="494"/>
      <c r="D252" s="494"/>
      <c r="E252" s="494"/>
      <c r="F252" s="494"/>
      <c r="G252" s="494"/>
      <c r="H252" s="494"/>
      <c r="I252" s="494"/>
      <c r="J252" s="494"/>
      <c r="K252" s="494"/>
      <c r="L252" s="494"/>
      <c r="M252" s="494"/>
      <c r="N252" s="494"/>
      <c r="O252" s="494"/>
      <c r="P252" s="494"/>
      <c r="Q252" s="494"/>
      <c r="R252" s="494"/>
      <c r="S252" s="494"/>
      <c r="T252" s="494"/>
    </row>
    <row r="253" spans="1:20">
      <c r="A253" s="203"/>
      <c r="B253" s="204">
        <v>3270.3</v>
      </c>
      <c r="C253" s="492">
        <v>3270.3</v>
      </c>
      <c r="D253" s="492"/>
      <c r="E253" s="492"/>
      <c r="F253" s="492">
        <v>3270.3</v>
      </c>
      <c r="G253" s="492"/>
      <c r="H253" s="492"/>
      <c r="I253" s="492">
        <v>3270.3</v>
      </c>
      <c r="J253" s="492"/>
      <c r="K253" s="492">
        <v>3270.3</v>
      </c>
      <c r="L253" s="492"/>
      <c r="M253" s="492">
        <v>3270.3</v>
      </c>
      <c r="N253" s="492"/>
      <c r="O253" s="204">
        <v>3270.3</v>
      </c>
      <c r="P253" s="492">
        <v>0</v>
      </c>
      <c r="Q253" s="492"/>
      <c r="R253" s="492">
        <v>0</v>
      </c>
      <c r="S253" s="492"/>
      <c r="T253" s="204">
        <v>0</v>
      </c>
    </row>
    <row r="254" spans="1:20">
      <c r="A254" s="474" t="s">
        <v>616</v>
      </c>
      <c r="B254" s="474"/>
      <c r="C254" s="474"/>
      <c r="D254" s="474"/>
      <c r="E254" s="474"/>
      <c r="F254" s="474"/>
      <c r="G254" s="474"/>
      <c r="H254" s="474"/>
      <c r="I254" s="474"/>
      <c r="J254" s="474"/>
      <c r="K254" s="474"/>
      <c r="L254" s="474"/>
      <c r="M254" s="474"/>
      <c r="N254" s="474"/>
      <c r="O254" s="474"/>
      <c r="P254" s="474"/>
      <c r="Q254" s="474"/>
      <c r="R254" s="474"/>
      <c r="S254" s="474"/>
      <c r="T254" s="474"/>
    </row>
    <row r="255" spans="1:20">
      <c r="A255" s="205"/>
      <c r="B255" s="206">
        <v>47013.8</v>
      </c>
      <c r="C255" s="493">
        <v>45327.75</v>
      </c>
      <c r="D255" s="493"/>
      <c r="E255" s="493"/>
      <c r="F255" s="493">
        <v>45327.75</v>
      </c>
      <c r="G255" s="493"/>
      <c r="H255" s="493"/>
      <c r="I255" s="493">
        <v>45327.75</v>
      </c>
      <c r="J255" s="493"/>
      <c r="K255" s="493">
        <v>45327.75</v>
      </c>
      <c r="L255" s="493"/>
      <c r="M255" s="493">
        <v>45327.75</v>
      </c>
      <c r="N255" s="493"/>
      <c r="O255" s="206">
        <v>45327.75</v>
      </c>
      <c r="P255" s="493">
        <v>1686.05</v>
      </c>
      <c r="Q255" s="493"/>
      <c r="R255" s="493">
        <v>0</v>
      </c>
      <c r="S255" s="493"/>
      <c r="T255" s="206">
        <v>0</v>
      </c>
    </row>
    <row r="256" spans="1:20">
      <c r="A256" s="471" t="s">
        <v>617</v>
      </c>
      <c r="B256" s="471"/>
      <c r="C256" s="471"/>
      <c r="D256" s="471"/>
      <c r="E256" s="471"/>
      <c r="F256" s="471"/>
      <c r="G256" s="471"/>
      <c r="H256" s="471"/>
      <c r="I256" s="471"/>
      <c r="J256" s="471"/>
      <c r="K256" s="471"/>
      <c r="L256" s="471"/>
      <c r="M256" s="471"/>
      <c r="N256" s="471"/>
      <c r="O256" s="471"/>
      <c r="P256" s="471"/>
      <c r="Q256" s="471"/>
      <c r="R256" s="471"/>
      <c r="S256" s="471"/>
      <c r="T256" s="471"/>
    </row>
    <row r="257" spans="1:20">
      <c r="A257" s="203"/>
      <c r="B257" s="204">
        <v>47013.8</v>
      </c>
      <c r="C257" s="492">
        <v>45327.75</v>
      </c>
      <c r="D257" s="492"/>
      <c r="E257" s="492"/>
      <c r="F257" s="492">
        <v>45327.75</v>
      </c>
      <c r="G257" s="492"/>
      <c r="H257" s="492"/>
      <c r="I257" s="492">
        <v>45327.75</v>
      </c>
      <c r="J257" s="492"/>
      <c r="K257" s="492">
        <v>45327.75</v>
      </c>
      <c r="L257" s="492"/>
      <c r="M257" s="492">
        <v>45327.75</v>
      </c>
      <c r="N257" s="492"/>
      <c r="O257" s="204">
        <v>45327.75</v>
      </c>
      <c r="P257" s="492">
        <v>1686.05</v>
      </c>
      <c r="Q257" s="492"/>
      <c r="R257" s="492">
        <v>0</v>
      </c>
      <c r="S257" s="492"/>
      <c r="T257" s="204">
        <v>0</v>
      </c>
    </row>
    <row r="258" spans="1:20">
      <c r="A258" s="495" t="s">
        <v>618</v>
      </c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</row>
    <row r="259" spans="1:20">
      <c r="A259" s="205"/>
      <c r="B259" s="206">
        <v>1014.21</v>
      </c>
      <c r="C259" s="493">
        <v>1014.21</v>
      </c>
      <c r="D259" s="493"/>
      <c r="E259" s="493"/>
      <c r="F259" s="493">
        <v>1014.21</v>
      </c>
      <c r="G259" s="493"/>
      <c r="H259" s="493"/>
      <c r="I259" s="493">
        <v>1014.21</v>
      </c>
      <c r="J259" s="493"/>
      <c r="K259" s="493">
        <v>1014.21</v>
      </c>
      <c r="L259" s="493"/>
      <c r="M259" s="493">
        <v>1014.21</v>
      </c>
      <c r="N259" s="493"/>
      <c r="O259" s="206">
        <v>1014.21</v>
      </c>
      <c r="P259" s="493">
        <v>0</v>
      </c>
      <c r="Q259" s="493"/>
      <c r="R259" s="493">
        <v>0</v>
      </c>
      <c r="S259" s="493"/>
      <c r="T259" s="206">
        <v>0</v>
      </c>
    </row>
    <row r="260" spans="1:20">
      <c r="A260" s="494" t="s">
        <v>619</v>
      </c>
      <c r="B260" s="494"/>
      <c r="C260" s="494"/>
      <c r="D260" s="494"/>
      <c r="E260" s="494"/>
      <c r="F260" s="494"/>
      <c r="G260" s="494"/>
      <c r="H260" s="494"/>
      <c r="I260" s="494"/>
      <c r="J260" s="494"/>
      <c r="K260" s="494"/>
      <c r="L260" s="494"/>
      <c r="M260" s="494"/>
      <c r="N260" s="494"/>
      <c r="O260" s="494"/>
      <c r="P260" s="494"/>
      <c r="Q260" s="494"/>
      <c r="R260" s="494"/>
      <c r="S260" s="494"/>
      <c r="T260" s="494"/>
    </row>
    <row r="261" spans="1:20">
      <c r="A261" s="203"/>
      <c r="B261" s="204">
        <v>15000</v>
      </c>
      <c r="C261" s="492">
        <v>13358.26</v>
      </c>
      <c r="D261" s="492"/>
      <c r="E261" s="492"/>
      <c r="F261" s="492">
        <v>13358.26</v>
      </c>
      <c r="G261" s="492"/>
      <c r="H261" s="492"/>
      <c r="I261" s="492">
        <v>13358.26</v>
      </c>
      <c r="J261" s="492"/>
      <c r="K261" s="492">
        <v>13358.26</v>
      </c>
      <c r="L261" s="492"/>
      <c r="M261" s="492">
        <v>13358.26</v>
      </c>
      <c r="N261" s="492"/>
      <c r="O261" s="204">
        <v>13358.26</v>
      </c>
      <c r="P261" s="492">
        <v>1641.74</v>
      </c>
      <c r="Q261" s="492"/>
      <c r="R261" s="492">
        <v>0</v>
      </c>
      <c r="S261" s="492"/>
      <c r="T261" s="204">
        <v>0</v>
      </c>
    </row>
    <row r="262" spans="1:20">
      <c r="A262" s="495" t="s">
        <v>620</v>
      </c>
      <c r="B262" s="495"/>
      <c r="C262" s="495"/>
      <c r="D262" s="495"/>
      <c r="E262" s="495"/>
      <c r="F262" s="495"/>
      <c r="G262" s="495"/>
      <c r="H262" s="495"/>
      <c r="I262" s="495"/>
      <c r="J262" s="495"/>
      <c r="K262" s="495"/>
      <c r="L262" s="495"/>
      <c r="M262" s="495"/>
      <c r="N262" s="495"/>
      <c r="O262" s="495"/>
      <c r="P262" s="495"/>
      <c r="Q262" s="495"/>
      <c r="R262" s="495"/>
      <c r="S262" s="495"/>
      <c r="T262" s="495"/>
    </row>
    <row r="263" spans="1:20">
      <c r="A263" s="205"/>
      <c r="B263" s="206">
        <v>30999.59</v>
      </c>
      <c r="C263" s="493">
        <v>30955.279999999999</v>
      </c>
      <c r="D263" s="493"/>
      <c r="E263" s="493"/>
      <c r="F263" s="493">
        <v>30955.279999999999</v>
      </c>
      <c r="G263" s="493"/>
      <c r="H263" s="493"/>
      <c r="I263" s="493">
        <v>30955.279999999999</v>
      </c>
      <c r="J263" s="493"/>
      <c r="K263" s="493">
        <v>30955.279999999999</v>
      </c>
      <c r="L263" s="493"/>
      <c r="M263" s="493">
        <v>30955.279999999999</v>
      </c>
      <c r="N263" s="493"/>
      <c r="O263" s="206">
        <v>30955.279999999999</v>
      </c>
      <c r="P263" s="493">
        <v>44.31</v>
      </c>
      <c r="Q263" s="493"/>
      <c r="R263" s="493">
        <v>0</v>
      </c>
      <c r="S263" s="493"/>
      <c r="T263" s="206">
        <v>0</v>
      </c>
    </row>
    <row r="264" spans="1:20">
      <c r="A264" s="471" t="s">
        <v>630</v>
      </c>
      <c r="B264" s="471"/>
      <c r="C264" s="471"/>
      <c r="D264" s="471"/>
      <c r="E264" s="471"/>
      <c r="F264" s="471"/>
      <c r="G264" s="471"/>
      <c r="H264" s="471"/>
      <c r="I264" s="471"/>
      <c r="J264" s="471"/>
      <c r="K264" s="471"/>
      <c r="L264" s="471"/>
      <c r="M264" s="471"/>
      <c r="N264" s="471"/>
      <c r="O264" s="471"/>
      <c r="P264" s="471"/>
      <c r="Q264" s="471"/>
      <c r="R264" s="471"/>
      <c r="S264" s="471"/>
      <c r="T264" s="471"/>
    </row>
    <row r="265" spans="1:20">
      <c r="A265" s="203"/>
      <c r="B265" s="204">
        <v>4917</v>
      </c>
      <c r="C265" s="492">
        <v>4917</v>
      </c>
      <c r="D265" s="492"/>
      <c r="E265" s="492"/>
      <c r="F265" s="492">
        <v>4917</v>
      </c>
      <c r="G265" s="492"/>
      <c r="H265" s="492"/>
      <c r="I265" s="492">
        <v>4917</v>
      </c>
      <c r="J265" s="492"/>
      <c r="K265" s="492">
        <v>4917</v>
      </c>
      <c r="L265" s="492"/>
      <c r="M265" s="492">
        <v>4917</v>
      </c>
      <c r="N265" s="492"/>
      <c r="O265" s="204">
        <v>4917</v>
      </c>
      <c r="P265" s="492">
        <v>0</v>
      </c>
      <c r="Q265" s="492"/>
      <c r="R265" s="492">
        <v>0</v>
      </c>
      <c r="S265" s="492"/>
      <c r="T265" s="204">
        <v>0</v>
      </c>
    </row>
    <row r="266" spans="1:20">
      <c r="A266" s="474" t="s">
        <v>631</v>
      </c>
      <c r="B266" s="474"/>
      <c r="C266" s="474"/>
      <c r="D266" s="474"/>
      <c r="E266" s="474"/>
      <c r="F266" s="474"/>
      <c r="G266" s="474"/>
      <c r="H266" s="474"/>
      <c r="I266" s="474"/>
      <c r="J266" s="474"/>
      <c r="K266" s="474"/>
      <c r="L266" s="474"/>
      <c r="M266" s="474"/>
      <c r="N266" s="474"/>
      <c r="O266" s="474"/>
      <c r="P266" s="474"/>
      <c r="Q266" s="474"/>
      <c r="R266" s="474"/>
      <c r="S266" s="474"/>
      <c r="T266" s="474"/>
    </row>
    <row r="267" spans="1:20">
      <c r="A267" s="205"/>
      <c r="B267" s="206">
        <v>4917</v>
      </c>
      <c r="C267" s="493">
        <v>4917</v>
      </c>
      <c r="D267" s="493"/>
      <c r="E267" s="493"/>
      <c r="F267" s="493">
        <v>4917</v>
      </c>
      <c r="G267" s="493"/>
      <c r="H267" s="493"/>
      <c r="I267" s="493">
        <v>4917</v>
      </c>
      <c r="J267" s="493"/>
      <c r="K267" s="493">
        <v>4917</v>
      </c>
      <c r="L267" s="493"/>
      <c r="M267" s="493">
        <v>4917</v>
      </c>
      <c r="N267" s="493"/>
      <c r="O267" s="206">
        <v>4917</v>
      </c>
      <c r="P267" s="493">
        <v>0</v>
      </c>
      <c r="Q267" s="493"/>
      <c r="R267" s="493">
        <v>0</v>
      </c>
      <c r="S267" s="493"/>
      <c r="T267" s="206">
        <v>0</v>
      </c>
    </row>
    <row r="268" spans="1:20">
      <c r="A268" s="471" t="s">
        <v>632</v>
      </c>
      <c r="B268" s="471"/>
      <c r="C268" s="471"/>
      <c r="D268" s="471"/>
      <c r="E268" s="471"/>
      <c r="F268" s="471"/>
      <c r="G268" s="471"/>
      <c r="H268" s="471"/>
      <c r="I268" s="471"/>
      <c r="J268" s="471"/>
      <c r="K268" s="471"/>
      <c r="L268" s="471"/>
      <c r="M268" s="471"/>
      <c r="N268" s="471"/>
      <c r="O268" s="471"/>
      <c r="P268" s="471"/>
      <c r="Q268" s="471"/>
      <c r="R268" s="471"/>
      <c r="S268" s="471"/>
      <c r="T268" s="471"/>
    </row>
    <row r="269" spans="1:20">
      <c r="A269" s="203"/>
      <c r="B269" s="204">
        <v>4917</v>
      </c>
      <c r="C269" s="492">
        <v>4917</v>
      </c>
      <c r="D269" s="492"/>
      <c r="E269" s="492"/>
      <c r="F269" s="492">
        <v>4917</v>
      </c>
      <c r="G269" s="492"/>
      <c r="H269" s="492"/>
      <c r="I269" s="492">
        <v>4917</v>
      </c>
      <c r="J269" s="492"/>
      <c r="K269" s="492">
        <v>4917</v>
      </c>
      <c r="L269" s="492"/>
      <c r="M269" s="492">
        <v>4917</v>
      </c>
      <c r="N269" s="492"/>
      <c r="O269" s="204">
        <v>4917</v>
      </c>
      <c r="P269" s="492">
        <v>0</v>
      </c>
      <c r="Q269" s="492"/>
      <c r="R269" s="492">
        <v>0</v>
      </c>
      <c r="S269" s="492"/>
      <c r="T269" s="204">
        <v>0</v>
      </c>
    </row>
    <row r="270" spans="1:20">
      <c r="A270" s="495" t="s">
        <v>633</v>
      </c>
      <c r="B270" s="495"/>
      <c r="C270" s="495"/>
      <c r="D270" s="495"/>
      <c r="E270" s="495"/>
      <c r="F270" s="495"/>
      <c r="G270" s="495"/>
      <c r="H270" s="495"/>
      <c r="I270" s="495"/>
      <c r="J270" s="495"/>
      <c r="K270" s="495"/>
      <c r="L270" s="495"/>
      <c r="M270" s="495"/>
      <c r="N270" s="495"/>
      <c r="O270" s="495"/>
      <c r="P270" s="495"/>
      <c r="Q270" s="495"/>
      <c r="R270" s="495"/>
      <c r="S270" s="495"/>
      <c r="T270" s="495"/>
    </row>
    <row r="271" spans="1:20">
      <c r="A271" s="205"/>
      <c r="B271" s="206">
        <v>4917</v>
      </c>
      <c r="C271" s="493">
        <v>4917</v>
      </c>
      <c r="D271" s="493"/>
      <c r="E271" s="493"/>
      <c r="F271" s="493">
        <v>4917</v>
      </c>
      <c r="G271" s="493"/>
      <c r="H271" s="493"/>
      <c r="I271" s="493">
        <v>4917</v>
      </c>
      <c r="J271" s="493"/>
      <c r="K271" s="493">
        <v>4917</v>
      </c>
      <c r="L271" s="493"/>
      <c r="M271" s="493">
        <v>4917</v>
      </c>
      <c r="N271" s="493"/>
      <c r="O271" s="206">
        <v>4917</v>
      </c>
      <c r="P271" s="493">
        <v>0</v>
      </c>
      <c r="Q271" s="493"/>
      <c r="R271" s="493">
        <v>0</v>
      </c>
      <c r="S271" s="493"/>
      <c r="T271" s="206">
        <v>0</v>
      </c>
    </row>
    <row r="272" spans="1:20">
      <c r="A272" s="494" t="s">
        <v>624</v>
      </c>
      <c r="B272" s="494"/>
      <c r="C272" s="494"/>
      <c r="D272" s="494"/>
      <c r="E272" s="494"/>
      <c r="F272" s="494"/>
      <c r="G272" s="494"/>
      <c r="H272" s="494"/>
      <c r="I272" s="494"/>
      <c r="J272" s="494"/>
      <c r="K272" s="494"/>
      <c r="L272" s="494"/>
      <c r="M272" s="494"/>
      <c r="N272" s="494"/>
      <c r="O272" s="494"/>
      <c r="P272" s="494"/>
      <c r="Q272" s="494"/>
      <c r="R272" s="494"/>
      <c r="S272" s="494"/>
      <c r="T272" s="494"/>
    </row>
    <row r="273" spans="1:20">
      <c r="A273" s="203"/>
      <c r="B273" s="204">
        <v>22540.66</v>
      </c>
      <c r="C273" s="492">
        <v>22540.66</v>
      </c>
      <c r="D273" s="492"/>
      <c r="E273" s="492"/>
      <c r="F273" s="492">
        <v>22540.66</v>
      </c>
      <c r="G273" s="492"/>
      <c r="H273" s="492"/>
      <c r="I273" s="492">
        <v>22540.66</v>
      </c>
      <c r="J273" s="492"/>
      <c r="K273" s="492">
        <v>22540.66</v>
      </c>
      <c r="L273" s="492"/>
      <c r="M273" s="492">
        <v>22540.66</v>
      </c>
      <c r="N273" s="492"/>
      <c r="O273" s="204">
        <v>22540.66</v>
      </c>
      <c r="P273" s="492">
        <v>0</v>
      </c>
      <c r="Q273" s="492"/>
      <c r="R273" s="492">
        <v>0</v>
      </c>
      <c r="S273" s="492"/>
      <c r="T273" s="204">
        <v>0</v>
      </c>
    </row>
    <row r="274" spans="1:20">
      <c r="A274" s="471" t="s">
        <v>551</v>
      </c>
      <c r="B274" s="471"/>
      <c r="C274" s="471"/>
      <c r="D274" s="471"/>
      <c r="E274" s="471"/>
      <c r="F274" s="471"/>
      <c r="G274" s="471"/>
      <c r="H274" s="471"/>
      <c r="I274" s="471"/>
      <c r="J274" s="471"/>
      <c r="K274" s="471"/>
      <c r="L274" s="471"/>
      <c r="M274" s="471"/>
      <c r="N274" s="471"/>
      <c r="O274" s="471"/>
      <c r="P274" s="471"/>
      <c r="Q274" s="471"/>
      <c r="R274" s="471"/>
      <c r="S274" s="471"/>
      <c r="T274" s="471"/>
    </row>
    <row r="275" spans="1:20">
      <c r="A275" s="203"/>
      <c r="B275" s="204">
        <v>22540.66</v>
      </c>
      <c r="C275" s="492">
        <v>22540.66</v>
      </c>
      <c r="D275" s="492"/>
      <c r="E275" s="492"/>
      <c r="F275" s="492">
        <v>22540.66</v>
      </c>
      <c r="G275" s="492"/>
      <c r="H275" s="492"/>
      <c r="I275" s="492">
        <v>22540.66</v>
      </c>
      <c r="J275" s="492"/>
      <c r="K275" s="492">
        <v>22540.66</v>
      </c>
      <c r="L275" s="492"/>
      <c r="M275" s="492">
        <v>22540.66</v>
      </c>
      <c r="N275" s="492"/>
      <c r="O275" s="204">
        <v>22540.66</v>
      </c>
      <c r="P275" s="492">
        <v>0</v>
      </c>
      <c r="Q275" s="492"/>
      <c r="R275" s="492">
        <v>0</v>
      </c>
      <c r="S275" s="492"/>
      <c r="T275" s="204">
        <v>0</v>
      </c>
    </row>
    <row r="276" spans="1:20">
      <c r="A276" s="474" t="s">
        <v>621</v>
      </c>
      <c r="B276" s="474"/>
      <c r="C276" s="474"/>
      <c r="D276" s="474"/>
      <c r="E276" s="474"/>
      <c r="F276" s="474"/>
      <c r="G276" s="474"/>
      <c r="H276" s="474"/>
      <c r="I276" s="474"/>
      <c r="J276" s="474"/>
      <c r="K276" s="474"/>
      <c r="L276" s="474"/>
      <c r="M276" s="474"/>
      <c r="N276" s="474"/>
      <c r="O276" s="474"/>
      <c r="P276" s="474"/>
      <c r="Q276" s="474"/>
      <c r="R276" s="474"/>
      <c r="S276" s="474"/>
      <c r="T276" s="474"/>
    </row>
    <row r="277" spans="1:20">
      <c r="A277" s="205"/>
      <c r="B277" s="206">
        <v>22540.66</v>
      </c>
      <c r="C277" s="493">
        <v>22540.66</v>
      </c>
      <c r="D277" s="493"/>
      <c r="E277" s="493"/>
      <c r="F277" s="493">
        <v>22540.66</v>
      </c>
      <c r="G277" s="493"/>
      <c r="H277" s="493"/>
      <c r="I277" s="493">
        <v>22540.66</v>
      </c>
      <c r="J277" s="493"/>
      <c r="K277" s="493">
        <v>22540.66</v>
      </c>
      <c r="L277" s="493"/>
      <c r="M277" s="493">
        <v>22540.66</v>
      </c>
      <c r="N277" s="493"/>
      <c r="O277" s="206">
        <v>22540.66</v>
      </c>
      <c r="P277" s="493">
        <v>0</v>
      </c>
      <c r="Q277" s="493"/>
      <c r="R277" s="493">
        <v>0</v>
      </c>
      <c r="S277" s="493"/>
      <c r="T277" s="206">
        <v>0</v>
      </c>
    </row>
    <row r="278" spans="1:20">
      <c r="A278" s="471" t="s">
        <v>622</v>
      </c>
      <c r="B278" s="471"/>
      <c r="C278" s="471"/>
      <c r="D278" s="471"/>
      <c r="E278" s="471"/>
      <c r="F278" s="471"/>
      <c r="G278" s="471"/>
      <c r="H278" s="471"/>
      <c r="I278" s="471"/>
      <c r="J278" s="471"/>
      <c r="K278" s="471"/>
      <c r="L278" s="471"/>
      <c r="M278" s="471"/>
      <c r="N278" s="471"/>
      <c r="O278" s="471"/>
      <c r="P278" s="471"/>
      <c r="Q278" s="471"/>
      <c r="R278" s="471"/>
      <c r="S278" s="471"/>
      <c r="T278" s="471"/>
    </row>
    <row r="279" spans="1:20">
      <c r="A279" s="203"/>
      <c r="B279" s="204">
        <v>22540.66</v>
      </c>
      <c r="C279" s="492">
        <v>22540.66</v>
      </c>
      <c r="D279" s="492"/>
      <c r="E279" s="492"/>
      <c r="F279" s="492">
        <v>22540.66</v>
      </c>
      <c r="G279" s="492"/>
      <c r="H279" s="492"/>
      <c r="I279" s="492">
        <v>22540.66</v>
      </c>
      <c r="J279" s="492"/>
      <c r="K279" s="492">
        <v>22540.66</v>
      </c>
      <c r="L279" s="492"/>
      <c r="M279" s="492">
        <v>22540.66</v>
      </c>
      <c r="N279" s="492"/>
      <c r="O279" s="204">
        <v>22540.66</v>
      </c>
      <c r="P279" s="492">
        <v>0</v>
      </c>
      <c r="Q279" s="492"/>
      <c r="R279" s="492">
        <v>0</v>
      </c>
      <c r="S279" s="492"/>
      <c r="T279" s="204">
        <v>0</v>
      </c>
    </row>
    <row r="280" spans="1:20">
      <c r="A280" s="495" t="s">
        <v>623</v>
      </c>
      <c r="B280" s="495"/>
      <c r="C280" s="495"/>
      <c r="D280" s="495"/>
      <c r="E280" s="495"/>
      <c r="F280" s="495"/>
      <c r="G280" s="495"/>
      <c r="H280" s="495"/>
      <c r="I280" s="495"/>
      <c r="J280" s="495"/>
      <c r="K280" s="495"/>
      <c r="L280" s="495"/>
      <c r="M280" s="495"/>
      <c r="N280" s="495"/>
      <c r="O280" s="495"/>
      <c r="P280" s="495"/>
      <c r="Q280" s="495"/>
      <c r="R280" s="495"/>
      <c r="S280" s="495"/>
      <c r="T280" s="495"/>
    </row>
    <row r="281" spans="1:20">
      <c r="A281" s="205"/>
      <c r="B281" s="206">
        <v>22540.66</v>
      </c>
      <c r="C281" s="493">
        <v>22540.66</v>
      </c>
      <c r="D281" s="493"/>
      <c r="E281" s="493"/>
      <c r="F281" s="493">
        <v>22540.66</v>
      </c>
      <c r="G281" s="493"/>
      <c r="H281" s="493"/>
      <c r="I281" s="493">
        <v>22540.66</v>
      </c>
      <c r="J281" s="493"/>
      <c r="K281" s="493">
        <v>22540.66</v>
      </c>
      <c r="L281" s="493"/>
      <c r="M281" s="493">
        <v>22540.66</v>
      </c>
      <c r="N281" s="493"/>
      <c r="O281" s="206">
        <v>22540.66</v>
      </c>
      <c r="P281" s="493">
        <v>0</v>
      </c>
      <c r="Q281" s="493"/>
      <c r="R281" s="493">
        <v>0</v>
      </c>
      <c r="S281" s="493"/>
      <c r="T281" s="206">
        <v>0</v>
      </c>
    </row>
    <row r="282" spans="1:20">
      <c r="A282" s="495" t="s">
        <v>627</v>
      </c>
      <c r="B282" s="495"/>
      <c r="C282" s="495"/>
      <c r="D282" s="495"/>
      <c r="E282" s="495"/>
      <c r="F282" s="495"/>
      <c r="G282" s="495"/>
      <c r="H282" s="495"/>
      <c r="I282" s="495"/>
      <c r="J282" s="495"/>
      <c r="K282" s="495"/>
      <c r="L282" s="495"/>
      <c r="M282" s="495"/>
      <c r="N282" s="495"/>
      <c r="O282" s="495"/>
      <c r="P282" s="495"/>
      <c r="Q282" s="495"/>
      <c r="R282" s="495"/>
      <c r="S282" s="495"/>
      <c r="T282" s="495"/>
    </row>
    <row r="283" spans="1:20">
      <c r="A283" s="205"/>
      <c r="B283" s="206">
        <v>7745.33</v>
      </c>
      <c r="C283" s="493">
        <v>7411.82</v>
      </c>
      <c r="D283" s="493"/>
      <c r="E283" s="493"/>
      <c r="F283" s="493">
        <v>7411.82</v>
      </c>
      <c r="G283" s="493"/>
      <c r="H283" s="493"/>
      <c r="I283" s="493">
        <v>7411.82</v>
      </c>
      <c r="J283" s="493"/>
      <c r="K283" s="493">
        <v>7411.82</v>
      </c>
      <c r="L283" s="493"/>
      <c r="M283" s="493">
        <v>7411.82</v>
      </c>
      <c r="N283" s="493"/>
      <c r="O283" s="206">
        <v>7411.82</v>
      </c>
      <c r="P283" s="493">
        <v>333.51</v>
      </c>
      <c r="Q283" s="493"/>
      <c r="R283" s="493">
        <v>0</v>
      </c>
      <c r="S283" s="493"/>
      <c r="T283" s="206">
        <v>0</v>
      </c>
    </row>
    <row r="284" spans="1:20">
      <c r="A284" s="471" t="s">
        <v>551</v>
      </c>
      <c r="B284" s="471"/>
      <c r="C284" s="471"/>
      <c r="D284" s="471"/>
      <c r="E284" s="471"/>
      <c r="F284" s="471"/>
      <c r="G284" s="471"/>
      <c r="H284" s="471"/>
      <c r="I284" s="471"/>
      <c r="J284" s="471"/>
      <c r="K284" s="471"/>
      <c r="L284" s="471"/>
      <c r="M284" s="471"/>
      <c r="N284" s="471"/>
      <c r="O284" s="471"/>
      <c r="P284" s="471"/>
      <c r="Q284" s="471"/>
      <c r="R284" s="471"/>
      <c r="S284" s="471"/>
      <c r="T284" s="471"/>
    </row>
    <row r="285" spans="1:20">
      <c r="A285" s="203"/>
      <c r="B285" s="204">
        <v>7745.33</v>
      </c>
      <c r="C285" s="492">
        <v>7411.82</v>
      </c>
      <c r="D285" s="492"/>
      <c r="E285" s="492"/>
      <c r="F285" s="492">
        <v>7411.82</v>
      </c>
      <c r="G285" s="492"/>
      <c r="H285" s="492"/>
      <c r="I285" s="492">
        <v>7411.82</v>
      </c>
      <c r="J285" s="492"/>
      <c r="K285" s="492">
        <v>7411.82</v>
      </c>
      <c r="L285" s="492"/>
      <c r="M285" s="492">
        <v>7411.82</v>
      </c>
      <c r="N285" s="492"/>
      <c r="O285" s="204">
        <v>7411.82</v>
      </c>
      <c r="P285" s="492">
        <v>333.51</v>
      </c>
      <c r="Q285" s="492"/>
      <c r="R285" s="492">
        <v>0</v>
      </c>
      <c r="S285" s="492"/>
      <c r="T285" s="204">
        <v>0</v>
      </c>
    </row>
    <row r="286" spans="1:20">
      <c r="A286" s="474" t="s">
        <v>621</v>
      </c>
      <c r="B286" s="474"/>
      <c r="C286" s="474"/>
      <c r="D286" s="474"/>
      <c r="E286" s="474"/>
      <c r="F286" s="474"/>
      <c r="G286" s="474"/>
      <c r="H286" s="474"/>
      <c r="I286" s="474"/>
      <c r="J286" s="474"/>
      <c r="K286" s="474"/>
      <c r="L286" s="474"/>
      <c r="M286" s="474"/>
      <c r="N286" s="474"/>
      <c r="O286" s="474"/>
      <c r="P286" s="474"/>
      <c r="Q286" s="474"/>
      <c r="R286" s="474"/>
      <c r="S286" s="474"/>
      <c r="T286" s="474"/>
    </row>
    <row r="287" spans="1:20">
      <c r="A287" s="205"/>
      <c r="B287" s="206">
        <v>7745.33</v>
      </c>
      <c r="C287" s="493">
        <v>7411.82</v>
      </c>
      <c r="D287" s="493"/>
      <c r="E287" s="493"/>
      <c r="F287" s="493">
        <v>7411.82</v>
      </c>
      <c r="G287" s="493"/>
      <c r="H287" s="493"/>
      <c r="I287" s="493">
        <v>7411.82</v>
      </c>
      <c r="J287" s="493"/>
      <c r="K287" s="493">
        <v>7411.82</v>
      </c>
      <c r="L287" s="493"/>
      <c r="M287" s="493">
        <v>7411.82</v>
      </c>
      <c r="N287" s="493"/>
      <c r="O287" s="206">
        <v>7411.82</v>
      </c>
      <c r="P287" s="493">
        <v>333.51</v>
      </c>
      <c r="Q287" s="493"/>
      <c r="R287" s="493">
        <v>0</v>
      </c>
      <c r="S287" s="493"/>
      <c r="T287" s="206">
        <v>0</v>
      </c>
    </row>
    <row r="288" spans="1:20">
      <c r="A288" s="471" t="s">
        <v>625</v>
      </c>
      <c r="B288" s="471"/>
      <c r="C288" s="471"/>
      <c r="D288" s="471"/>
      <c r="E288" s="471"/>
      <c r="F288" s="471"/>
      <c r="G288" s="471"/>
      <c r="H288" s="471"/>
      <c r="I288" s="471"/>
      <c r="J288" s="471"/>
      <c r="K288" s="471"/>
      <c r="L288" s="471"/>
      <c r="M288" s="471"/>
      <c r="N288" s="471"/>
      <c r="O288" s="471"/>
      <c r="P288" s="471"/>
      <c r="Q288" s="471"/>
      <c r="R288" s="471"/>
      <c r="S288" s="471"/>
      <c r="T288" s="471"/>
    </row>
    <row r="289" spans="1:20">
      <c r="A289" s="203"/>
      <c r="B289" s="204">
        <v>7745.33</v>
      </c>
      <c r="C289" s="492">
        <v>7411.82</v>
      </c>
      <c r="D289" s="492"/>
      <c r="E289" s="492"/>
      <c r="F289" s="492">
        <v>7411.82</v>
      </c>
      <c r="G289" s="492"/>
      <c r="H289" s="492"/>
      <c r="I289" s="492">
        <v>7411.82</v>
      </c>
      <c r="J289" s="492"/>
      <c r="K289" s="492">
        <v>7411.82</v>
      </c>
      <c r="L289" s="492"/>
      <c r="M289" s="492">
        <v>7411.82</v>
      </c>
      <c r="N289" s="492"/>
      <c r="O289" s="204">
        <v>7411.82</v>
      </c>
      <c r="P289" s="492">
        <v>333.51</v>
      </c>
      <c r="Q289" s="492"/>
      <c r="R289" s="492">
        <v>0</v>
      </c>
      <c r="S289" s="492"/>
      <c r="T289" s="204">
        <v>0</v>
      </c>
    </row>
    <row r="290" spans="1:20">
      <c r="A290" s="495" t="s">
        <v>626</v>
      </c>
      <c r="B290" s="495"/>
      <c r="C290" s="495"/>
      <c r="D290" s="495"/>
      <c r="E290" s="495"/>
      <c r="F290" s="495"/>
      <c r="G290" s="495"/>
      <c r="H290" s="495"/>
      <c r="I290" s="495"/>
      <c r="J290" s="495"/>
      <c r="K290" s="495"/>
      <c r="L290" s="495"/>
      <c r="M290" s="495"/>
      <c r="N290" s="495"/>
      <c r="O290" s="495"/>
      <c r="P290" s="495"/>
      <c r="Q290" s="495"/>
      <c r="R290" s="495"/>
      <c r="S290" s="495"/>
      <c r="T290" s="495"/>
    </row>
    <row r="291" spans="1:20">
      <c r="A291" s="205"/>
      <c r="B291" s="206">
        <v>7745.33</v>
      </c>
      <c r="C291" s="493">
        <v>7411.82</v>
      </c>
      <c r="D291" s="493"/>
      <c r="E291" s="493"/>
      <c r="F291" s="493">
        <v>7411.82</v>
      </c>
      <c r="G291" s="493"/>
      <c r="H291" s="493"/>
      <c r="I291" s="493">
        <v>7411.82</v>
      </c>
      <c r="J291" s="493"/>
      <c r="K291" s="493">
        <v>7411.82</v>
      </c>
      <c r="L291" s="493"/>
      <c r="M291" s="493">
        <v>7411.82</v>
      </c>
      <c r="N291" s="493"/>
      <c r="O291" s="206">
        <v>7411.82</v>
      </c>
      <c r="P291" s="493">
        <v>333.51</v>
      </c>
      <c r="Q291" s="493"/>
      <c r="R291" s="493">
        <v>0</v>
      </c>
      <c r="S291" s="493"/>
      <c r="T291" s="206">
        <v>0</v>
      </c>
    </row>
    <row r="292" spans="1:20">
      <c r="A292" s="494" t="s">
        <v>634</v>
      </c>
      <c r="B292" s="494"/>
      <c r="C292" s="494"/>
      <c r="D292" s="494"/>
      <c r="E292" s="494"/>
      <c r="F292" s="494"/>
      <c r="G292" s="494"/>
      <c r="H292" s="494"/>
      <c r="I292" s="494"/>
      <c r="J292" s="494"/>
      <c r="K292" s="494"/>
      <c r="L292" s="494"/>
      <c r="M292" s="494"/>
      <c r="N292" s="494"/>
      <c r="O292" s="494"/>
      <c r="P292" s="494"/>
      <c r="Q292" s="494"/>
      <c r="R292" s="494"/>
      <c r="S292" s="494"/>
      <c r="T292" s="494"/>
    </row>
    <row r="293" spans="1:20">
      <c r="A293" s="203"/>
      <c r="B293" s="204">
        <v>34400</v>
      </c>
      <c r="C293" s="492">
        <v>34400</v>
      </c>
      <c r="D293" s="492"/>
      <c r="E293" s="492"/>
      <c r="F293" s="492">
        <v>34400</v>
      </c>
      <c r="G293" s="492"/>
      <c r="H293" s="492"/>
      <c r="I293" s="492">
        <v>34400</v>
      </c>
      <c r="J293" s="492"/>
      <c r="K293" s="492">
        <v>34400</v>
      </c>
      <c r="L293" s="492"/>
      <c r="M293" s="492">
        <v>34400</v>
      </c>
      <c r="N293" s="492"/>
      <c r="O293" s="204">
        <v>34400</v>
      </c>
      <c r="P293" s="492">
        <v>0</v>
      </c>
      <c r="Q293" s="492"/>
      <c r="R293" s="492">
        <v>0</v>
      </c>
      <c r="S293" s="492"/>
      <c r="T293" s="204">
        <v>0</v>
      </c>
    </row>
    <row r="294" spans="1:20">
      <c r="A294" s="471" t="s">
        <v>630</v>
      </c>
      <c r="B294" s="471"/>
      <c r="C294" s="471"/>
      <c r="D294" s="471"/>
      <c r="E294" s="471"/>
      <c r="F294" s="471"/>
      <c r="G294" s="471"/>
      <c r="H294" s="471"/>
      <c r="I294" s="471"/>
      <c r="J294" s="471"/>
      <c r="K294" s="471"/>
      <c r="L294" s="471"/>
      <c r="M294" s="471"/>
      <c r="N294" s="471"/>
      <c r="O294" s="471"/>
      <c r="P294" s="471"/>
      <c r="Q294" s="471"/>
      <c r="R294" s="471"/>
      <c r="S294" s="471"/>
      <c r="T294" s="471"/>
    </row>
    <row r="295" spans="1:20">
      <c r="A295" s="203"/>
      <c r="B295" s="204">
        <v>34400</v>
      </c>
      <c r="C295" s="492">
        <v>34400</v>
      </c>
      <c r="D295" s="492"/>
      <c r="E295" s="492"/>
      <c r="F295" s="492">
        <v>34400</v>
      </c>
      <c r="G295" s="492"/>
      <c r="H295" s="492"/>
      <c r="I295" s="492">
        <v>34400</v>
      </c>
      <c r="J295" s="492"/>
      <c r="K295" s="492">
        <v>34400</v>
      </c>
      <c r="L295" s="492"/>
      <c r="M295" s="492">
        <v>34400</v>
      </c>
      <c r="N295" s="492"/>
      <c r="O295" s="204">
        <v>34400</v>
      </c>
      <c r="P295" s="492">
        <v>0</v>
      </c>
      <c r="Q295" s="492"/>
      <c r="R295" s="492">
        <v>0</v>
      </c>
      <c r="S295" s="492"/>
      <c r="T295" s="204">
        <v>0</v>
      </c>
    </row>
    <row r="296" spans="1:20">
      <c r="A296" s="474" t="s">
        <v>631</v>
      </c>
      <c r="B296" s="474"/>
      <c r="C296" s="474"/>
      <c r="D296" s="474"/>
      <c r="E296" s="474"/>
      <c r="F296" s="474"/>
      <c r="G296" s="474"/>
      <c r="H296" s="474"/>
      <c r="I296" s="474"/>
      <c r="J296" s="474"/>
      <c r="K296" s="474"/>
      <c r="L296" s="474"/>
      <c r="M296" s="474"/>
      <c r="N296" s="474"/>
      <c r="O296" s="474"/>
      <c r="P296" s="474"/>
      <c r="Q296" s="474"/>
      <c r="R296" s="474"/>
      <c r="S296" s="474"/>
      <c r="T296" s="474"/>
    </row>
    <row r="297" spans="1:20">
      <c r="A297" s="205"/>
      <c r="B297" s="206">
        <v>22200</v>
      </c>
      <c r="C297" s="493">
        <v>22200</v>
      </c>
      <c r="D297" s="493"/>
      <c r="E297" s="493"/>
      <c r="F297" s="493">
        <v>22200</v>
      </c>
      <c r="G297" s="493"/>
      <c r="H297" s="493"/>
      <c r="I297" s="493">
        <v>22200</v>
      </c>
      <c r="J297" s="493"/>
      <c r="K297" s="493">
        <v>22200</v>
      </c>
      <c r="L297" s="493"/>
      <c r="M297" s="493">
        <v>22200</v>
      </c>
      <c r="N297" s="493"/>
      <c r="O297" s="206">
        <v>22200</v>
      </c>
      <c r="P297" s="493">
        <v>0</v>
      </c>
      <c r="Q297" s="493"/>
      <c r="R297" s="493">
        <v>0</v>
      </c>
      <c r="S297" s="493"/>
      <c r="T297" s="206">
        <v>0</v>
      </c>
    </row>
    <row r="298" spans="1:20">
      <c r="A298" s="471" t="s">
        <v>632</v>
      </c>
      <c r="B298" s="471"/>
      <c r="C298" s="471"/>
      <c r="D298" s="471"/>
      <c r="E298" s="471"/>
      <c r="F298" s="471"/>
      <c r="G298" s="471"/>
      <c r="H298" s="471"/>
      <c r="I298" s="471"/>
      <c r="J298" s="471"/>
      <c r="K298" s="471"/>
      <c r="L298" s="471"/>
      <c r="M298" s="471"/>
      <c r="N298" s="471"/>
      <c r="O298" s="471"/>
      <c r="P298" s="471"/>
      <c r="Q298" s="471"/>
      <c r="R298" s="471"/>
      <c r="S298" s="471"/>
      <c r="T298" s="471"/>
    </row>
    <row r="299" spans="1:20">
      <c r="A299" s="203"/>
      <c r="B299" s="204">
        <v>22200</v>
      </c>
      <c r="C299" s="492">
        <v>22200</v>
      </c>
      <c r="D299" s="492"/>
      <c r="E299" s="492"/>
      <c r="F299" s="492">
        <v>22200</v>
      </c>
      <c r="G299" s="492"/>
      <c r="H299" s="492"/>
      <c r="I299" s="492">
        <v>22200</v>
      </c>
      <c r="J299" s="492"/>
      <c r="K299" s="492">
        <v>22200</v>
      </c>
      <c r="L299" s="492"/>
      <c r="M299" s="492">
        <v>22200</v>
      </c>
      <c r="N299" s="492"/>
      <c r="O299" s="204">
        <v>22200</v>
      </c>
      <c r="P299" s="492">
        <v>0</v>
      </c>
      <c r="Q299" s="492"/>
      <c r="R299" s="492">
        <v>0</v>
      </c>
      <c r="S299" s="492"/>
      <c r="T299" s="204">
        <v>0</v>
      </c>
    </row>
    <row r="300" spans="1:20">
      <c r="A300" s="495" t="s">
        <v>633</v>
      </c>
      <c r="B300" s="495"/>
      <c r="C300" s="495"/>
      <c r="D300" s="495"/>
      <c r="E300" s="495"/>
      <c r="F300" s="495"/>
      <c r="G300" s="495"/>
      <c r="H300" s="495"/>
      <c r="I300" s="495"/>
      <c r="J300" s="495"/>
      <c r="K300" s="495"/>
      <c r="L300" s="495"/>
      <c r="M300" s="495"/>
      <c r="N300" s="495"/>
      <c r="O300" s="495"/>
      <c r="P300" s="495"/>
      <c r="Q300" s="495"/>
      <c r="R300" s="495"/>
      <c r="S300" s="495"/>
      <c r="T300" s="495"/>
    </row>
    <row r="301" spans="1:20">
      <c r="A301" s="205"/>
      <c r="B301" s="206">
        <v>22200</v>
      </c>
      <c r="C301" s="493">
        <v>22200</v>
      </c>
      <c r="D301" s="493"/>
      <c r="E301" s="493"/>
      <c r="F301" s="493">
        <v>22200</v>
      </c>
      <c r="G301" s="493"/>
      <c r="H301" s="493"/>
      <c r="I301" s="493">
        <v>22200</v>
      </c>
      <c r="J301" s="493"/>
      <c r="K301" s="493">
        <v>22200</v>
      </c>
      <c r="L301" s="493"/>
      <c r="M301" s="493">
        <v>22200</v>
      </c>
      <c r="N301" s="493"/>
      <c r="O301" s="206">
        <v>22200</v>
      </c>
      <c r="P301" s="493">
        <v>0</v>
      </c>
      <c r="Q301" s="493"/>
      <c r="R301" s="493">
        <v>0</v>
      </c>
      <c r="S301" s="493"/>
      <c r="T301" s="206">
        <v>0</v>
      </c>
    </row>
    <row r="302" spans="1:20">
      <c r="A302" s="471" t="s">
        <v>635</v>
      </c>
      <c r="B302" s="471"/>
      <c r="C302" s="471"/>
      <c r="D302" s="471"/>
      <c r="E302" s="471"/>
      <c r="F302" s="471"/>
      <c r="G302" s="471"/>
      <c r="H302" s="471"/>
      <c r="I302" s="471"/>
      <c r="J302" s="471"/>
      <c r="K302" s="471"/>
      <c r="L302" s="471"/>
      <c r="M302" s="471"/>
      <c r="N302" s="471"/>
      <c r="O302" s="471"/>
      <c r="P302" s="471"/>
      <c r="Q302" s="471"/>
      <c r="R302" s="471"/>
      <c r="S302" s="471"/>
      <c r="T302" s="471"/>
    </row>
    <row r="303" spans="1:20">
      <c r="A303" s="203"/>
      <c r="B303" s="204">
        <v>12200</v>
      </c>
      <c r="C303" s="492">
        <v>12200</v>
      </c>
      <c r="D303" s="492"/>
      <c r="E303" s="492"/>
      <c r="F303" s="492">
        <v>12200</v>
      </c>
      <c r="G303" s="492"/>
      <c r="H303" s="492"/>
      <c r="I303" s="492">
        <v>12200</v>
      </c>
      <c r="J303" s="492"/>
      <c r="K303" s="492">
        <v>12200</v>
      </c>
      <c r="L303" s="492"/>
      <c r="M303" s="492">
        <v>12200</v>
      </c>
      <c r="N303" s="492"/>
      <c r="O303" s="204">
        <v>12200</v>
      </c>
      <c r="P303" s="492">
        <v>0</v>
      </c>
      <c r="Q303" s="492"/>
      <c r="R303" s="492">
        <v>0</v>
      </c>
      <c r="S303" s="492"/>
      <c r="T303" s="204">
        <v>0</v>
      </c>
    </row>
    <row r="304" spans="1:20">
      <c r="A304" s="474" t="s">
        <v>636</v>
      </c>
      <c r="B304" s="474"/>
      <c r="C304" s="474"/>
      <c r="D304" s="474"/>
      <c r="E304" s="474"/>
      <c r="F304" s="474"/>
      <c r="G304" s="474"/>
      <c r="H304" s="474"/>
      <c r="I304" s="474"/>
      <c r="J304" s="474"/>
      <c r="K304" s="474"/>
      <c r="L304" s="474"/>
      <c r="M304" s="474"/>
      <c r="N304" s="474"/>
      <c r="O304" s="474"/>
      <c r="P304" s="474"/>
      <c r="Q304" s="474"/>
      <c r="R304" s="474"/>
      <c r="S304" s="474"/>
      <c r="T304" s="474"/>
    </row>
    <row r="305" spans="1:20">
      <c r="A305" s="205"/>
      <c r="B305" s="206">
        <v>12200</v>
      </c>
      <c r="C305" s="493">
        <v>12200</v>
      </c>
      <c r="D305" s="493"/>
      <c r="E305" s="493"/>
      <c r="F305" s="493">
        <v>12200</v>
      </c>
      <c r="G305" s="493"/>
      <c r="H305" s="493"/>
      <c r="I305" s="493">
        <v>12200</v>
      </c>
      <c r="J305" s="493"/>
      <c r="K305" s="493">
        <v>12200</v>
      </c>
      <c r="L305" s="493"/>
      <c r="M305" s="493">
        <v>12200</v>
      </c>
      <c r="N305" s="493"/>
      <c r="O305" s="206">
        <v>12200</v>
      </c>
      <c r="P305" s="493">
        <v>0</v>
      </c>
      <c r="Q305" s="493"/>
      <c r="R305" s="493">
        <v>0</v>
      </c>
      <c r="S305" s="493"/>
      <c r="T305" s="206">
        <v>0</v>
      </c>
    </row>
    <row r="306" spans="1:20">
      <c r="A306" s="494" t="s">
        <v>637</v>
      </c>
      <c r="B306" s="494"/>
      <c r="C306" s="494"/>
      <c r="D306" s="494"/>
      <c r="E306" s="494"/>
      <c r="F306" s="494"/>
      <c r="G306" s="494"/>
      <c r="H306" s="494"/>
      <c r="I306" s="494"/>
      <c r="J306" s="494"/>
      <c r="K306" s="494"/>
      <c r="L306" s="494"/>
      <c r="M306" s="494"/>
      <c r="N306" s="494"/>
      <c r="O306" s="494"/>
      <c r="P306" s="494"/>
      <c r="Q306" s="494"/>
      <c r="R306" s="494"/>
      <c r="S306" s="494"/>
      <c r="T306" s="494"/>
    </row>
    <row r="307" spans="1:20">
      <c r="A307" s="203"/>
      <c r="B307" s="204">
        <v>12200</v>
      </c>
      <c r="C307" s="492">
        <v>12200</v>
      </c>
      <c r="D307" s="492"/>
      <c r="E307" s="492"/>
      <c r="F307" s="492">
        <v>12200</v>
      </c>
      <c r="G307" s="492"/>
      <c r="H307" s="492"/>
      <c r="I307" s="492">
        <v>12200</v>
      </c>
      <c r="J307" s="492"/>
      <c r="K307" s="492">
        <v>12200</v>
      </c>
      <c r="L307" s="492"/>
      <c r="M307" s="492">
        <v>12200</v>
      </c>
      <c r="N307" s="492"/>
      <c r="O307" s="204">
        <v>12200</v>
      </c>
      <c r="P307" s="492">
        <v>0</v>
      </c>
      <c r="Q307" s="492"/>
      <c r="R307" s="492">
        <v>0</v>
      </c>
      <c r="S307" s="492"/>
      <c r="T307" s="204">
        <v>0</v>
      </c>
    </row>
    <row r="308" spans="1:20">
      <c r="A308" s="474" t="s">
        <v>561</v>
      </c>
      <c r="B308" s="474"/>
      <c r="C308" s="474"/>
      <c r="D308" s="474"/>
      <c r="E308" s="474"/>
      <c r="F308" s="474"/>
      <c r="G308" s="474"/>
      <c r="H308" s="474"/>
      <c r="I308" s="474"/>
      <c r="J308" s="474"/>
      <c r="K308" s="474"/>
      <c r="L308" s="474"/>
      <c r="M308" s="474"/>
      <c r="N308" s="474"/>
      <c r="O308" s="474"/>
      <c r="P308" s="474"/>
      <c r="Q308" s="474"/>
      <c r="R308" s="474"/>
      <c r="S308" s="474"/>
      <c r="T308" s="474"/>
    </row>
    <row r="309" spans="1:20">
      <c r="A309" s="205"/>
      <c r="B309" s="206">
        <v>636218.43999999994</v>
      </c>
      <c r="C309" s="493">
        <v>607385.94999999995</v>
      </c>
      <c r="D309" s="493"/>
      <c r="E309" s="493"/>
      <c r="F309" s="493">
        <v>607385.94999999995</v>
      </c>
      <c r="G309" s="493"/>
      <c r="H309" s="493"/>
      <c r="I309" s="493">
        <v>607385.94999999995</v>
      </c>
      <c r="J309" s="493"/>
      <c r="K309" s="493">
        <v>607385.94999999995</v>
      </c>
      <c r="L309" s="493"/>
      <c r="M309" s="493">
        <v>591566.67000000004</v>
      </c>
      <c r="N309" s="493"/>
      <c r="O309" s="206">
        <v>591566.67000000004</v>
      </c>
      <c r="P309" s="493">
        <v>28832.49</v>
      </c>
      <c r="Q309" s="493"/>
      <c r="R309" s="493">
        <v>0</v>
      </c>
      <c r="S309" s="493"/>
      <c r="T309" s="206">
        <v>15819.28</v>
      </c>
    </row>
    <row r="310" spans="1:20">
      <c r="A310" s="494" t="s">
        <v>562</v>
      </c>
      <c r="B310" s="494"/>
      <c r="C310" s="494"/>
      <c r="D310" s="494"/>
      <c r="E310" s="494"/>
      <c r="F310" s="494"/>
      <c r="G310" s="494"/>
      <c r="H310" s="494"/>
      <c r="I310" s="494"/>
      <c r="J310" s="494"/>
      <c r="K310" s="494"/>
      <c r="L310" s="494"/>
      <c r="M310" s="494"/>
      <c r="N310" s="494"/>
      <c r="O310" s="494"/>
      <c r="P310" s="494"/>
      <c r="Q310" s="494"/>
      <c r="R310" s="494"/>
      <c r="S310" s="494"/>
      <c r="T310" s="494"/>
    </row>
    <row r="311" spans="1:20">
      <c r="A311" s="203"/>
      <c r="B311" s="204">
        <v>396647.19</v>
      </c>
      <c r="C311" s="492">
        <v>390941.79</v>
      </c>
      <c r="D311" s="492"/>
      <c r="E311" s="492"/>
      <c r="F311" s="492">
        <v>390941.79</v>
      </c>
      <c r="G311" s="492"/>
      <c r="H311" s="492"/>
      <c r="I311" s="492">
        <v>390941.79</v>
      </c>
      <c r="J311" s="492"/>
      <c r="K311" s="492">
        <v>390941.79</v>
      </c>
      <c r="L311" s="492"/>
      <c r="M311" s="492">
        <v>381974.43</v>
      </c>
      <c r="N311" s="492"/>
      <c r="O311" s="204">
        <v>381974.43</v>
      </c>
      <c r="P311" s="492">
        <v>5705.4</v>
      </c>
      <c r="Q311" s="492"/>
      <c r="R311" s="492">
        <v>0</v>
      </c>
      <c r="S311" s="492"/>
      <c r="T311" s="204">
        <v>8967.36</v>
      </c>
    </row>
    <row r="312" spans="1:20">
      <c r="A312" s="471" t="s">
        <v>551</v>
      </c>
      <c r="B312" s="471"/>
      <c r="C312" s="471"/>
      <c r="D312" s="471"/>
      <c r="E312" s="471"/>
      <c r="F312" s="471"/>
      <c r="G312" s="471"/>
      <c r="H312" s="471"/>
      <c r="I312" s="471"/>
      <c r="J312" s="471"/>
      <c r="K312" s="471"/>
      <c r="L312" s="471"/>
      <c r="M312" s="471"/>
      <c r="N312" s="471"/>
      <c r="O312" s="471"/>
      <c r="P312" s="471"/>
      <c r="Q312" s="471"/>
      <c r="R312" s="471"/>
      <c r="S312" s="471"/>
      <c r="T312" s="471"/>
    </row>
    <row r="313" spans="1:20">
      <c r="A313" s="203"/>
      <c r="B313" s="204">
        <v>396647.19</v>
      </c>
      <c r="C313" s="492">
        <v>390941.79</v>
      </c>
      <c r="D313" s="492"/>
      <c r="E313" s="492"/>
      <c r="F313" s="492">
        <v>390941.79</v>
      </c>
      <c r="G313" s="492"/>
      <c r="H313" s="492"/>
      <c r="I313" s="492">
        <v>390941.79</v>
      </c>
      <c r="J313" s="492"/>
      <c r="K313" s="492">
        <v>390941.79</v>
      </c>
      <c r="L313" s="492"/>
      <c r="M313" s="492">
        <v>381974.43</v>
      </c>
      <c r="N313" s="492"/>
      <c r="O313" s="204">
        <v>381974.43</v>
      </c>
      <c r="P313" s="492">
        <v>5705.4</v>
      </c>
      <c r="Q313" s="492"/>
      <c r="R313" s="492">
        <v>0</v>
      </c>
      <c r="S313" s="492"/>
      <c r="T313" s="204">
        <v>8967.36</v>
      </c>
    </row>
    <row r="314" spans="1:20">
      <c r="A314" s="474" t="s">
        <v>552</v>
      </c>
      <c r="B314" s="474"/>
      <c r="C314" s="474"/>
      <c r="D314" s="474"/>
      <c r="E314" s="474"/>
      <c r="F314" s="474"/>
      <c r="G314" s="474"/>
      <c r="H314" s="474"/>
      <c r="I314" s="474"/>
      <c r="J314" s="474"/>
      <c r="K314" s="474"/>
      <c r="L314" s="474"/>
      <c r="M314" s="474"/>
      <c r="N314" s="474"/>
      <c r="O314" s="474"/>
      <c r="P314" s="474"/>
      <c r="Q314" s="474"/>
      <c r="R314" s="474"/>
      <c r="S314" s="474"/>
      <c r="T314" s="474"/>
    </row>
    <row r="315" spans="1:20">
      <c r="A315" s="205"/>
      <c r="B315" s="206">
        <v>370204.18</v>
      </c>
      <c r="C315" s="493">
        <v>368840.73</v>
      </c>
      <c r="D315" s="493"/>
      <c r="E315" s="493"/>
      <c r="F315" s="493">
        <v>368840.73</v>
      </c>
      <c r="G315" s="493"/>
      <c r="H315" s="493"/>
      <c r="I315" s="493">
        <v>368840.73</v>
      </c>
      <c r="J315" s="493"/>
      <c r="K315" s="493">
        <v>368840.73</v>
      </c>
      <c r="L315" s="493"/>
      <c r="M315" s="493">
        <v>361871.87</v>
      </c>
      <c r="N315" s="493"/>
      <c r="O315" s="206">
        <v>361871.87</v>
      </c>
      <c r="P315" s="493">
        <v>1363.45</v>
      </c>
      <c r="Q315" s="493"/>
      <c r="R315" s="493">
        <v>0</v>
      </c>
      <c r="S315" s="493"/>
      <c r="T315" s="206">
        <v>6968.86</v>
      </c>
    </row>
    <row r="316" spans="1:20">
      <c r="A316" s="471" t="s">
        <v>553</v>
      </c>
      <c r="B316" s="471"/>
      <c r="C316" s="471"/>
      <c r="D316" s="471"/>
      <c r="E316" s="471"/>
      <c r="F316" s="471"/>
      <c r="G316" s="471"/>
      <c r="H316" s="471"/>
      <c r="I316" s="471"/>
      <c r="J316" s="471"/>
      <c r="K316" s="471"/>
      <c r="L316" s="471"/>
      <c r="M316" s="471"/>
      <c r="N316" s="471"/>
      <c r="O316" s="471"/>
      <c r="P316" s="471"/>
      <c r="Q316" s="471"/>
      <c r="R316" s="471"/>
      <c r="S316" s="471"/>
      <c r="T316" s="471"/>
    </row>
    <row r="317" spans="1:20">
      <c r="A317" s="203"/>
      <c r="B317" s="204">
        <v>370204.18</v>
      </c>
      <c r="C317" s="492">
        <v>368840.73</v>
      </c>
      <c r="D317" s="492"/>
      <c r="E317" s="492"/>
      <c r="F317" s="492">
        <v>368840.73</v>
      </c>
      <c r="G317" s="492"/>
      <c r="H317" s="492"/>
      <c r="I317" s="492">
        <v>368840.73</v>
      </c>
      <c r="J317" s="492"/>
      <c r="K317" s="492">
        <v>368840.73</v>
      </c>
      <c r="L317" s="492"/>
      <c r="M317" s="492">
        <v>361871.87</v>
      </c>
      <c r="N317" s="492"/>
      <c r="O317" s="204">
        <v>361871.87</v>
      </c>
      <c r="P317" s="492">
        <v>1363.45</v>
      </c>
      <c r="Q317" s="492"/>
      <c r="R317" s="492">
        <v>0</v>
      </c>
      <c r="S317" s="492"/>
      <c r="T317" s="204">
        <v>6968.86</v>
      </c>
    </row>
    <row r="318" spans="1:20">
      <c r="A318" s="474" t="s">
        <v>554</v>
      </c>
      <c r="B318" s="474"/>
      <c r="C318" s="474"/>
      <c r="D318" s="474"/>
      <c r="E318" s="474"/>
      <c r="F318" s="474"/>
      <c r="G318" s="474"/>
      <c r="H318" s="474"/>
      <c r="I318" s="474"/>
      <c r="J318" s="474"/>
      <c r="K318" s="474"/>
      <c r="L318" s="474"/>
      <c r="M318" s="474"/>
      <c r="N318" s="474"/>
      <c r="O318" s="474"/>
      <c r="P318" s="474"/>
      <c r="Q318" s="474"/>
      <c r="R318" s="474"/>
      <c r="S318" s="474"/>
      <c r="T318" s="474"/>
    </row>
    <row r="319" spans="1:20">
      <c r="A319" s="205"/>
      <c r="B319" s="206">
        <v>265657.37</v>
      </c>
      <c r="C319" s="493">
        <v>265201.98</v>
      </c>
      <c r="D319" s="493"/>
      <c r="E319" s="493"/>
      <c r="F319" s="493">
        <v>265201.98</v>
      </c>
      <c r="G319" s="493"/>
      <c r="H319" s="493"/>
      <c r="I319" s="493">
        <v>265201.98</v>
      </c>
      <c r="J319" s="493"/>
      <c r="K319" s="493">
        <v>265201.98</v>
      </c>
      <c r="L319" s="493"/>
      <c r="M319" s="493">
        <v>265201.98</v>
      </c>
      <c r="N319" s="493"/>
      <c r="O319" s="206">
        <v>265201.98</v>
      </c>
      <c r="P319" s="493">
        <v>455.39</v>
      </c>
      <c r="Q319" s="493"/>
      <c r="R319" s="493">
        <v>0</v>
      </c>
      <c r="S319" s="493"/>
      <c r="T319" s="206">
        <v>0</v>
      </c>
    </row>
    <row r="320" spans="1:20">
      <c r="A320" s="494" t="s">
        <v>555</v>
      </c>
      <c r="B320" s="494"/>
      <c r="C320" s="494"/>
      <c r="D320" s="494"/>
      <c r="E320" s="494"/>
      <c r="F320" s="494"/>
      <c r="G320" s="494"/>
      <c r="H320" s="494"/>
      <c r="I320" s="494"/>
      <c r="J320" s="494"/>
      <c r="K320" s="494"/>
      <c r="L320" s="494"/>
      <c r="M320" s="494"/>
      <c r="N320" s="494"/>
      <c r="O320" s="494"/>
      <c r="P320" s="494"/>
      <c r="Q320" s="494"/>
      <c r="R320" s="494"/>
      <c r="S320" s="494"/>
      <c r="T320" s="494"/>
    </row>
    <row r="321" spans="1:20">
      <c r="A321" s="203"/>
      <c r="B321" s="204">
        <v>223005.72</v>
      </c>
      <c r="C321" s="492">
        <v>223005.72</v>
      </c>
      <c r="D321" s="492"/>
      <c r="E321" s="492"/>
      <c r="F321" s="492">
        <v>223005.72</v>
      </c>
      <c r="G321" s="492"/>
      <c r="H321" s="492"/>
      <c r="I321" s="492">
        <v>223005.72</v>
      </c>
      <c r="J321" s="492"/>
      <c r="K321" s="492">
        <v>223005.72</v>
      </c>
      <c r="L321" s="492"/>
      <c r="M321" s="492">
        <v>223005.72</v>
      </c>
      <c r="N321" s="492"/>
      <c r="O321" s="204">
        <v>223005.72</v>
      </c>
      <c r="P321" s="492">
        <v>0</v>
      </c>
      <c r="Q321" s="492"/>
      <c r="R321" s="492">
        <v>0</v>
      </c>
      <c r="S321" s="492"/>
      <c r="T321" s="204">
        <v>0</v>
      </c>
    </row>
    <row r="322" spans="1:20">
      <c r="A322" s="495" t="s">
        <v>564</v>
      </c>
      <c r="B322" s="495"/>
      <c r="C322" s="495"/>
      <c r="D322" s="495"/>
      <c r="E322" s="495"/>
      <c r="F322" s="495"/>
      <c r="G322" s="495"/>
      <c r="H322" s="495"/>
      <c r="I322" s="495"/>
      <c r="J322" s="495"/>
      <c r="K322" s="495"/>
      <c r="L322" s="495"/>
      <c r="M322" s="495"/>
      <c r="N322" s="495"/>
      <c r="O322" s="495"/>
      <c r="P322" s="495"/>
      <c r="Q322" s="495"/>
      <c r="R322" s="495"/>
      <c r="S322" s="495"/>
      <c r="T322" s="495"/>
    </row>
    <row r="323" spans="1:20">
      <c r="A323" s="205"/>
      <c r="B323" s="206">
        <v>12350</v>
      </c>
      <c r="C323" s="493">
        <v>12350</v>
      </c>
      <c r="D323" s="493"/>
      <c r="E323" s="493"/>
      <c r="F323" s="493">
        <v>12350</v>
      </c>
      <c r="G323" s="493"/>
      <c r="H323" s="493"/>
      <c r="I323" s="493">
        <v>12350</v>
      </c>
      <c r="J323" s="493"/>
      <c r="K323" s="493">
        <v>12350</v>
      </c>
      <c r="L323" s="493"/>
      <c r="M323" s="493">
        <v>12350</v>
      </c>
      <c r="N323" s="493"/>
      <c r="O323" s="206">
        <v>12350</v>
      </c>
      <c r="P323" s="493">
        <v>0</v>
      </c>
      <c r="Q323" s="493"/>
      <c r="R323" s="493">
        <v>0</v>
      </c>
      <c r="S323" s="493"/>
      <c r="T323" s="206">
        <v>0</v>
      </c>
    </row>
    <row r="324" spans="1:20">
      <c r="A324" s="494" t="s">
        <v>565</v>
      </c>
      <c r="B324" s="494"/>
      <c r="C324" s="494"/>
      <c r="D324" s="494"/>
      <c r="E324" s="494"/>
      <c r="F324" s="494"/>
      <c r="G324" s="494"/>
      <c r="H324" s="494"/>
      <c r="I324" s="494"/>
      <c r="J324" s="494"/>
      <c r="K324" s="494"/>
      <c r="L324" s="494"/>
      <c r="M324" s="494"/>
      <c r="N324" s="494"/>
      <c r="O324" s="494"/>
      <c r="P324" s="494"/>
      <c r="Q324" s="494"/>
      <c r="R324" s="494"/>
      <c r="S324" s="494"/>
      <c r="T324" s="494"/>
    </row>
    <row r="325" spans="1:20">
      <c r="A325" s="203"/>
      <c r="B325" s="204">
        <v>22832.01</v>
      </c>
      <c r="C325" s="492">
        <v>22735.19</v>
      </c>
      <c r="D325" s="492"/>
      <c r="E325" s="492"/>
      <c r="F325" s="492">
        <v>22735.19</v>
      </c>
      <c r="G325" s="492"/>
      <c r="H325" s="492"/>
      <c r="I325" s="492">
        <v>22735.19</v>
      </c>
      <c r="J325" s="492"/>
      <c r="K325" s="492">
        <v>22735.19</v>
      </c>
      <c r="L325" s="492"/>
      <c r="M325" s="492">
        <v>22735.19</v>
      </c>
      <c r="N325" s="492"/>
      <c r="O325" s="204">
        <v>22735.19</v>
      </c>
      <c r="P325" s="492">
        <v>96.82</v>
      </c>
      <c r="Q325" s="492"/>
      <c r="R325" s="492">
        <v>0</v>
      </c>
      <c r="S325" s="492"/>
      <c r="T325" s="204">
        <v>0</v>
      </c>
    </row>
    <row r="326" spans="1:20">
      <c r="A326" s="495" t="s">
        <v>566</v>
      </c>
      <c r="B326" s="495"/>
      <c r="C326" s="495"/>
      <c r="D326" s="495"/>
      <c r="E326" s="495"/>
      <c r="F326" s="495"/>
      <c r="G326" s="495"/>
      <c r="H326" s="495"/>
      <c r="I326" s="495"/>
      <c r="J326" s="495"/>
      <c r="K326" s="495"/>
      <c r="L326" s="495"/>
      <c r="M326" s="495"/>
      <c r="N326" s="495"/>
      <c r="O326" s="495"/>
      <c r="P326" s="495"/>
      <c r="Q326" s="495"/>
      <c r="R326" s="495"/>
      <c r="S326" s="495"/>
      <c r="T326" s="495"/>
    </row>
    <row r="327" spans="1:20">
      <c r="A327" s="205"/>
      <c r="B327" s="206">
        <v>7469.64</v>
      </c>
      <c r="C327" s="493">
        <v>7111.07</v>
      </c>
      <c r="D327" s="493"/>
      <c r="E327" s="493"/>
      <c r="F327" s="493">
        <v>7111.07</v>
      </c>
      <c r="G327" s="493"/>
      <c r="H327" s="493"/>
      <c r="I327" s="493">
        <v>7111.07</v>
      </c>
      <c r="J327" s="493"/>
      <c r="K327" s="493">
        <v>7111.07</v>
      </c>
      <c r="L327" s="493"/>
      <c r="M327" s="493">
        <v>7111.07</v>
      </c>
      <c r="N327" s="493"/>
      <c r="O327" s="206">
        <v>7111.07</v>
      </c>
      <c r="P327" s="493">
        <v>358.57</v>
      </c>
      <c r="Q327" s="493"/>
      <c r="R327" s="493">
        <v>0</v>
      </c>
      <c r="S327" s="493"/>
      <c r="T327" s="206">
        <v>0</v>
      </c>
    </row>
    <row r="328" spans="1:20">
      <c r="A328" s="471" t="s">
        <v>567</v>
      </c>
      <c r="B328" s="471"/>
      <c r="C328" s="471"/>
      <c r="D328" s="471"/>
      <c r="E328" s="471"/>
      <c r="F328" s="471"/>
      <c r="G328" s="471"/>
      <c r="H328" s="471"/>
      <c r="I328" s="471"/>
      <c r="J328" s="471"/>
      <c r="K328" s="471"/>
      <c r="L328" s="471"/>
      <c r="M328" s="471"/>
      <c r="N328" s="471"/>
      <c r="O328" s="471"/>
      <c r="P328" s="471"/>
      <c r="Q328" s="471"/>
      <c r="R328" s="471"/>
      <c r="S328" s="471"/>
      <c r="T328" s="471"/>
    </row>
    <row r="329" spans="1:20">
      <c r="A329" s="203"/>
      <c r="B329" s="204">
        <v>89985.31</v>
      </c>
      <c r="C329" s="492">
        <v>89985.31</v>
      </c>
      <c r="D329" s="492"/>
      <c r="E329" s="492"/>
      <c r="F329" s="492">
        <v>89985.31</v>
      </c>
      <c r="G329" s="492"/>
      <c r="H329" s="492"/>
      <c r="I329" s="492">
        <v>89985.31</v>
      </c>
      <c r="J329" s="492"/>
      <c r="K329" s="492">
        <v>89985.31</v>
      </c>
      <c r="L329" s="492"/>
      <c r="M329" s="492">
        <v>83016.45</v>
      </c>
      <c r="N329" s="492"/>
      <c r="O329" s="204">
        <v>83016.45</v>
      </c>
      <c r="P329" s="492">
        <v>0</v>
      </c>
      <c r="Q329" s="492"/>
      <c r="R329" s="492">
        <v>0</v>
      </c>
      <c r="S329" s="492"/>
      <c r="T329" s="204">
        <v>6968.86</v>
      </c>
    </row>
    <row r="330" spans="1:20">
      <c r="A330" s="495" t="s">
        <v>568</v>
      </c>
      <c r="B330" s="495"/>
      <c r="C330" s="495"/>
      <c r="D330" s="495"/>
      <c r="E330" s="495"/>
      <c r="F330" s="495"/>
      <c r="G330" s="495"/>
      <c r="H330" s="495"/>
      <c r="I330" s="495"/>
      <c r="J330" s="495"/>
      <c r="K330" s="495"/>
      <c r="L330" s="495"/>
      <c r="M330" s="495"/>
      <c r="N330" s="495"/>
      <c r="O330" s="495"/>
      <c r="P330" s="495"/>
      <c r="Q330" s="495"/>
      <c r="R330" s="495"/>
      <c r="S330" s="495"/>
      <c r="T330" s="495"/>
    </row>
    <row r="331" spans="1:20">
      <c r="A331" s="205"/>
      <c r="B331" s="206">
        <v>63770.31</v>
      </c>
      <c r="C331" s="493">
        <v>63770.31</v>
      </c>
      <c r="D331" s="493"/>
      <c r="E331" s="493"/>
      <c r="F331" s="493">
        <v>63770.31</v>
      </c>
      <c r="G331" s="493"/>
      <c r="H331" s="493"/>
      <c r="I331" s="493">
        <v>63770.31</v>
      </c>
      <c r="J331" s="493"/>
      <c r="K331" s="493">
        <v>63770.31</v>
      </c>
      <c r="L331" s="493"/>
      <c r="M331" s="493">
        <v>58995.93</v>
      </c>
      <c r="N331" s="493"/>
      <c r="O331" s="206">
        <v>58995.93</v>
      </c>
      <c r="P331" s="493">
        <v>0</v>
      </c>
      <c r="Q331" s="493"/>
      <c r="R331" s="493">
        <v>0</v>
      </c>
      <c r="S331" s="493"/>
      <c r="T331" s="206">
        <v>4774.38</v>
      </c>
    </row>
    <row r="332" spans="1:20">
      <c r="A332" s="494" t="s">
        <v>569</v>
      </c>
      <c r="B332" s="494"/>
      <c r="C332" s="494"/>
      <c r="D332" s="494"/>
      <c r="E332" s="494"/>
      <c r="F332" s="494"/>
      <c r="G332" s="494"/>
      <c r="H332" s="494"/>
      <c r="I332" s="494"/>
      <c r="J332" s="494"/>
      <c r="K332" s="494"/>
      <c r="L332" s="494"/>
      <c r="M332" s="494"/>
      <c r="N332" s="494"/>
      <c r="O332" s="494"/>
      <c r="P332" s="494"/>
      <c r="Q332" s="494"/>
      <c r="R332" s="494"/>
      <c r="S332" s="494"/>
      <c r="T332" s="494"/>
    </row>
    <row r="333" spans="1:20">
      <c r="A333" s="203"/>
      <c r="B333" s="204">
        <v>23302</v>
      </c>
      <c r="C333" s="492">
        <v>23302</v>
      </c>
      <c r="D333" s="492"/>
      <c r="E333" s="492"/>
      <c r="F333" s="492">
        <v>23302</v>
      </c>
      <c r="G333" s="492"/>
      <c r="H333" s="492"/>
      <c r="I333" s="492">
        <v>23302</v>
      </c>
      <c r="J333" s="492"/>
      <c r="K333" s="492">
        <v>23302</v>
      </c>
      <c r="L333" s="492"/>
      <c r="M333" s="492">
        <v>21506.53</v>
      </c>
      <c r="N333" s="492"/>
      <c r="O333" s="204">
        <v>21506.53</v>
      </c>
      <c r="P333" s="492">
        <v>0</v>
      </c>
      <c r="Q333" s="492"/>
      <c r="R333" s="492">
        <v>0</v>
      </c>
      <c r="S333" s="492"/>
      <c r="T333" s="204">
        <v>1795.47</v>
      </c>
    </row>
    <row r="334" spans="1:20">
      <c r="A334" s="495" t="s">
        <v>570</v>
      </c>
      <c r="B334" s="495"/>
      <c r="C334" s="495"/>
      <c r="D334" s="495"/>
      <c r="E334" s="495"/>
      <c r="F334" s="495"/>
      <c r="G334" s="495"/>
      <c r="H334" s="495"/>
      <c r="I334" s="495"/>
      <c r="J334" s="495"/>
      <c r="K334" s="495"/>
      <c r="L334" s="495"/>
      <c r="M334" s="495"/>
      <c r="N334" s="495"/>
      <c r="O334" s="495"/>
      <c r="P334" s="495"/>
      <c r="Q334" s="495"/>
      <c r="R334" s="495"/>
      <c r="S334" s="495"/>
      <c r="T334" s="495"/>
    </row>
    <row r="335" spans="1:20">
      <c r="A335" s="205"/>
      <c r="B335" s="206">
        <v>2913</v>
      </c>
      <c r="C335" s="493">
        <v>2913</v>
      </c>
      <c r="D335" s="493"/>
      <c r="E335" s="493"/>
      <c r="F335" s="493">
        <v>2913</v>
      </c>
      <c r="G335" s="493"/>
      <c r="H335" s="493"/>
      <c r="I335" s="493">
        <v>2913</v>
      </c>
      <c r="J335" s="493"/>
      <c r="K335" s="493">
        <v>2913</v>
      </c>
      <c r="L335" s="493"/>
      <c r="M335" s="493">
        <v>2513.9899999999998</v>
      </c>
      <c r="N335" s="493"/>
      <c r="O335" s="206">
        <v>2513.9899999999998</v>
      </c>
      <c r="P335" s="493">
        <v>0</v>
      </c>
      <c r="Q335" s="493"/>
      <c r="R335" s="493">
        <v>0</v>
      </c>
      <c r="S335" s="493"/>
      <c r="T335" s="206">
        <v>399.01</v>
      </c>
    </row>
    <row r="336" spans="1:20">
      <c r="A336" s="471" t="s">
        <v>571</v>
      </c>
      <c r="B336" s="471"/>
      <c r="C336" s="471"/>
      <c r="D336" s="471"/>
      <c r="E336" s="471"/>
      <c r="F336" s="471"/>
      <c r="G336" s="471"/>
      <c r="H336" s="471"/>
      <c r="I336" s="471"/>
      <c r="J336" s="471"/>
      <c r="K336" s="471"/>
      <c r="L336" s="471"/>
      <c r="M336" s="471"/>
      <c r="N336" s="471"/>
      <c r="O336" s="471"/>
      <c r="P336" s="471"/>
      <c r="Q336" s="471"/>
      <c r="R336" s="471"/>
      <c r="S336" s="471"/>
      <c r="T336" s="471"/>
    </row>
    <row r="337" spans="1:20">
      <c r="A337" s="203"/>
      <c r="B337" s="204">
        <v>14561.5</v>
      </c>
      <c r="C337" s="492">
        <v>13653.44</v>
      </c>
      <c r="D337" s="492"/>
      <c r="E337" s="492"/>
      <c r="F337" s="492">
        <v>13653.44</v>
      </c>
      <c r="G337" s="492"/>
      <c r="H337" s="492"/>
      <c r="I337" s="492">
        <v>13653.44</v>
      </c>
      <c r="J337" s="492"/>
      <c r="K337" s="492">
        <v>13653.44</v>
      </c>
      <c r="L337" s="492"/>
      <c r="M337" s="492">
        <v>13653.44</v>
      </c>
      <c r="N337" s="492"/>
      <c r="O337" s="204">
        <v>13653.44</v>
      </c>
      <c r="P337" s="492">
        <v>908.06</v>
      </c>
      <c r="Q337" s="492"/>
      <c r="R337" s="492">
        <v>0</v>
      </c>
      <c r="S337" s="492"/>
      <c r="T337" s="204">
        <v>0</v>
      </c>
    </row>
    <row r="338" spans="1:20">
      <c r="A338" s="495" t="s">
        <v>573</v>
      </c>
      <c r="B338" s="495"/>
      <c r="C338" s="495"/>
      <c r="D338" s="495"/>
      <c r="E338" s="495"/>
      <c r="F338" s="495"/>
      <c r="G338" s="495"/>
      <c r="H338" s="495"/>
      <c r="I338" s="495"/>
      <c r="J338" s="495"/>
      <c r="K338" s="495"/>
      <c r="L338" s="495"/>
      <c r="M338" s="495"/>
      <c r="N338" s="495"/>
      <c r="O338" s="495"/>
      <c r="P338" s="495"/>
      <c r="Q338" s="495"/>
      <c r="R338" s="495"/>
      <c r="S338" s="495"/>
      <c r="T338" s="495"/>
    </row>
    <row r="339" spans="1:20">
      <c r="A339" s="205"/>
      <c r="B339" s="206">
        <v>14561.5</v>
      </c>
      <c r="C339" s="493">
        <v>13653.44</v>
      </c>
      <c r="D339" s="493"/>
      <c r="E339" s="493"/>
      <c r="F339" s="493">
        <v>13653.44</v>
      </c>
      <c r="G339" s="493"/>
      <c r="H339" s="493"/>
      <c r="I339" s="493">
        <v>13653.44</v>
      </c>
      <c r="J339" s="493"/>
      <c r="K339" s="493">
        <v>13653.44</v>
      </c>
      <c r="L339" s="493"/>
      <c r="M339" s="493">
        <v>13653.44</v>
      </c>
      <c r="N339" s="493"/>
      <c r="O339" s="206">
        <v>13653.44</v>
      </c>
      <c r="P339" s="493">
        <v>908.06</v>
      </c>
      <c r="Q339" s="493"/>
      <c r="R339" s="493">
        <v>0</v>
      </c>
      <c r="S339" s="493"/>
      <c r="T339" s="206">
        <v>0</v>
      </c>
    </row>
    <row r="340" spans="1:20">
      <c r="A340" s="471" t="s">
        <v>574</v>
      </c>
      <c r="B340" s="471"/>
      <c r="C340" s="471"/>
      <c r="D340" s="471"/>
      <c r="E340" s="471"/>
      <c r="F340" s="471"/>
      <c r="G340" s="471"/>
      <c r="H340" s="471"/>
      <c r="I340" s="471"/>
      <c r="J340" s="471"/>
      <c r="K340" s="471"/>
      <c r="L340" s="471"/>
      <c r="M340" s="471"/>
      <c r="N340" s="471"/>
      <c r="O340" s="471"/>
      <c r="P340" s="471"/>
      <c r="Q340" s="471"/>
      <c r="R340" s="471"/>
      <c r="S340" s="471"/>
      <c r="T340" s="471"/>
    </row>
    <row r="341" spans="1:20">
      <c r="A341" s="203"/>
      <c r="B341" s="204">
        <v>565.36</v>
      </c>
      <c r="C341" s="492">
        <v>16</v>
      </c>
      <c r="D341" s="492"/>
      <c r="E341" s="492"/>
      <c r="F341" s="492">
        <v>16</v>
      </c>
      <c r="G341" s="492"/>
      <c r="H341" s="492"/>
      <c r="I341" s="492">
        <v>16</v>
      </c>
      <c r="J341" s="492"/>
      <c r="K341" s="492">
        <v>16</v>
      </c>
      <c r="L341" s="492"/>
      <c r="M341" s="492">
        <v>16</v>
      </c>
      <c r="N341" s="492"/>
      <c r="O341" s="204">
        <v>16</v>
      </c>
      <c r="P341" s="492">
        <v>549.36</v>
      </c>
      <c r="Q341" s="492"/>
      <c r="R341" s="492">
        <v>0</v>
      </c>
      <c r="S341" s="492"/>
      <c r="T341" s="204">
        <v>0</v>
      </c>
    </row>
    <row r="342" spans="1:20">
      <c r="A342" s="474" t="s">
        <v>575</v>
      </c>
      <c r="B342" s="474"/>
      <c r="C342" s="474"/>
      <c r="D342" s="474"/>
      <c r="E342" s="474"/>
      <c r="F342" s="474"/>
      <c r="G342" s="474"/>
      <c r="H342" s="474"/>
      <c r="I342" s="474"/>
      <c r="J342" s="474"/>
      <c r="K342" s="474"/>
      <c r="L342" s="474"/>
      <c r="M342" s="474"/>
      <c r="N342" s="474"/>
      <c r="O342" s="474"/>
      <c r="P342" s="474"/>
      <c r="Q342" s="474"/>
      <c r="R342" s="474"/>
      <c r="S342" s="474"/>
      <c r="T342" s="474"/>
    </row>
    <row r="343" spans="1:20">
      <c r="A343" s="205"/>
      <c r="B343" s="206">
        <v>565.36</v>
      </c>
      <c r="C343" s="493">
        <v>16</v>
      </c>
      <c r="D343" s="493"/>
      <c r="E343" s="493"/>
      <c r="F343" s="493">
        <v>16</v>
      </c>
      <c r="G343" s="493"/>
      <c r="H343" s="493"/>
      <c r="I343" s="493">
        <v>16</v>
      </c>
      <c r="J343" s="493"/>
      <c r="K343" s="493">
        <v>16</v>
      </c>
      <c r="L343" s="493"/>
      <c r="M343" s="493">
        <v>16</v>
      </c>
      <c r="N343" s="493"/>
      <c r="O343" s="206">
        <v>16</v>
      </c>
      <c r="P343" s="493">
        <v>549.36</v>
      </c>
      <c r="Q343" s="493"/>
      <c r="R343" s="493">
        <v>0</v>
      </c>
      <c r="S343" s="493"/>
      <c r="T343" s="206">
        <v>0</v>
      </c>
    </row>
    <row r="344" spans="1:20">
      <c r="A344" s="494" t="s">
        <v>576</v>
      </c>
      <c r="B344" s="494"/>
      <c r="C344" s="494"/>
      <c r="D344" s="494"/>
      <c r="E344" s="494"/>
      <c r="F344" s="494"/>
      <c r="G344" s="494"/>
      <c r="H344" s="494"/>
      <c r="I344" s="494"/>
      <c r="J344" s="494"/>
      <c r="K344" s="494"/>
      <c r="L344" s="494"/>
      <c r="M344" s="494"/>
      <c r="N344" s="494"/>
      <c r="O344" s="494"/>
      <c r="P344" s="494"/>
      <c r="Q344" s="494"/>
      <c r="R344" s="494"/>
      <c r="S344" s="494"/>
      <c r="T344" s="494"/>
    </row>
    <row r="345" spans="1:20">
      <c r="A345" s="203"/>
      <c r="B345" s="204">
        <v>549.36</v>
      </c>
      <c r="C345" s="492">
        <v>0</v>
      </c>
      <c r="D345" s="492"/>
      <c r="E345" s="492"/>
      <c r="F345" s="492">
        <v>0</v>
      </c>
      <c r="G345" s="492"/>
      <c r="H345" s="492"/>
      <c r="I345" s="492">
        <v>0</v>
      </c>
      <c r="J345" s="492"/>
      <c r="K345" s="492">
        <v>0</v>
      </c>
      <c r="L345" s="492"/>
      <c r="M345" s="492">
        <v>0</v>
      </c>
      <c r="N345" s="492"/>
      <c r="O345" s="204">
        <v>0</v>
      </c>
      <c r="P345" s="492">
        <v>549.36</v>
      </c>
      <c r="Q345" s="492"/>
      <c r="R345" s="492">
        <v>0</v>
      </c>
      <c r="S345" s="492"/>
      <c r="T345" s="204">
        <v>0</v>
      </c>
    </row>
    <row r="346" spans="1:20">
      <c r="A346" s="495" t="s">
        <v>578</v>
      </c>
      <c r="B346" s="495"/>
      <c r="C346" s="495"/>
      <c r="D346" s="495"/>
      <c r="E346" s="495"/>
      <c r="F346" s="495"/>
      <c r="G346" s="495"/>
      <c r="H346" s="495"/>
      <c r="I346" s="495"/>
      <c r="J346" s="495"/>
      <c r="K346" s="495"/>
      <c r="L346" s="495"/>
      <c r="M346" s="495"/>
      <c r="N346" s="495"/>
      <c r="O346" s="495"/>
      <c r="P346" s="495"/>
      <c r="Q346" s="495"/>
      <c r="R346" s="495"/>
      <c r="S346" s="495"/>
      <c r="T346" s="495"/>
    </row>
    <row r="347" spans="1:20">
      <c r="A347" s="205"/>
      <c r="B347" s="206">
        <v>16</v>
      </c>
      <c r="C347" s="493">
        <v>16</v>
      </c>
      <c r="D347" s="493"/>
      <c r="E347" s="493"/>
      <c r="F347" s="493">
        <v>16</v>
      </c>
      <c r="G347" s="493"/>
      <c r="H347" s="493"/>
      <c r="I347" s="493">
        <v>16</v>
      </c>
      <c r="J347" s="493"/>
      <c r="K347" s="493">
        <v>16</v>
      </c>
      <c r="L347" s="493"/>
      <c r="M347" s="493">
        <v>16</v>
      </c>
      <c r="N347" s="493"/>
      <c r="O347" s="206">
        <v>16</v>
      </c>
      <c r="P347" s="493">
        <v>0</v>
      </c>
      <c r="Q347" s="493"/>
      <c r="R347" s="493">
        <v>0</v>
      </c>
      <c r="S347" s="493"/>
      <c r="T347" s="206">
        <v>0</v>
      </c>
    </row>
    <row r="348" spans="1:20">
      <c r="A348" s="471" t="s">
        <v>580</v>
      </c>
      <c r="B348" s="471"/>
      <c r="C348" s="471"/>
      <c r="D348" s="471"/>
      <c r="E348" s="471"/>
      <c r="F348" s="471"/>
      <c r="G348" s="471"/>
      <c r="H348" s="471"/>
      <c r="I348" s="471"/>
      <c r="J348" s="471"/>
      <c r="K348" s="471"/>
      <c r="L348" s="471"/>
      <c r="M348" s="471"/>
      <c r="N348" s="471"/>
      <c r="O348" s="471"/>
      <c r="P348" s="471"/>
      <c r="Q348" s="471"/>
      <c r="R348" s="471"/>
      <c r="S348" s="471"/>
      <c r="T348" s="471"/>
    </row>
    <row r="349" spans="1:20">
      <c r="A349" s="203"/>
      <c r="B349" s="204">
        <v>4873.99</v>
      </c>
      <c r="C349" s="492">
        <v>4873.99</v>
      </c>
      <c r="D349" s="492"/>
      <c r="E349" s="492"/>
      <c r="F349" s="492">
        <v>4873.99</v>
      </c>
      <c r="G349" s="492"/>
      <c r="H349" s="492"/>
      <c r="I349" s="492">
        <v>4873.99</v>
      </c>
      <c r="J349" s="492"/>
      <c r="K349" s="492">
        <v>4873.99</v>
      </c>
      <c r="L349" s="492"/>
      <c r="M349" s="492">
        <v>4873.99</v>
      </c>
      <c r="N349" s="492"/>
      <c r="O349" s="204">
        <v>4873.99</v>
      </c>
      <c r="P349" s="492">
        <v>0</v>
      </c>
      <c r="Q349" s="492"/>
      <c r="R349" s="492">
        <v>0</v>
      </c>
      <c r="S349" s="492"/>
      <c r="T349" s="204">
        <v>0</v>
      </c>
    </row>
    <row r="350" spans="1:20">
      <c r="A350" s="474" t="s">
        <v>581</v>
      </c>
      <c r="B350" s="474"/>
      <c r="C350" s="474"/>
      <c r="D350" s="474"/>
      <c r="E350" s="474"/>
      <c r="F350" s="474"/>
      <c r="G350" s="474"/>
      <c r="H350" s="474"/>
      <c r="I350" s="474"/>
      <c r="J350" s="474"/>
      <c r="K350" s="474"/>
      <c r="L350" s="474"/>
      <c r="M350" s="474"/>
      <c r="N350" s="474"/>
      <c r="O350" s="474"/>
      <c r="P350" s="474"/>
      <c r="Q350" s="474"/>
      <c r="R350" s="474"/>
      <c r="S350" s="474"/>
      <c r="T350" s="474"/>
    </row>
    <row r="351" spans="1:20">
      <c r="A351" s="205"/>
      <c r="B351" s="206">
        <v>4873.99</v>
      </c>
      <c r="C351" s="493">
        <v>4873.99</v>
      </c>
      <c r="D351" s="493"/>
      <c r="E351" s="493"/>
      <c r="F351" s="493">
        <v>4873.99</v>
      </c>
      <c r="G351" s="493"/>
      <c r="H351" s="493"/>
      <c r="I351" s="493">
        <v>4873.99</v>
      </c>
      <c r="J351" s="493"/>
      <c r="K351" s="493">
        <v>4873.99</v>
      </c>
      <c r="L351" s="493"/>
      <c r="M351" s="493">
        <v>4873.99</v>
      </c>
      <c r="N351" s="493"/>
      <c r="O351" s="206">
        <v>4873.99</v>
      </c>
      <c r="P351" s="493">
        <v>0</v>
      </c>
      <c r="Q351" s="493"/>
      <c r="R351" s="493">
        <v>0</v>
      </c>
      <c r="S351" s="493"/>
      <c r="T351" s="206">
        <v>0</v>
      </c>
    </row>
    <row r="352" spans="1:20">
      <c r="A352" s="494" t="s">
        <v>583</v>
      </c>
      <c r="B352" s="494"/>
      <c r="C352" s="494"/>
      <c r="D352" s="494"/>
      <c r="E352" s="494"/>
      <c r="F352" s="494"/>
      <c r="G352" s="494"/>
      <c r="H352" s="494"/>
      <c r="I352" s="494"/>
      <c r="J352" s="494"/>
      <c r="K352" s="494"/>
      <c r="L352" s="494"/>
      <c r="M352" s="494"/>
      <c r="N352" s="494"/>
      <c r="O352" s="494"/>
      <c r="P352" s="494"/>
      <c r="Q352" s="494"/>
      <c r="R352" s="494"/>
      <c r="S352" s="494"/>
      <c r="T352" s="494"/>
    </row>
    <row r="353" spans="1:20">
      <c r="A353" s="203"/>
      <c r="B353" s="204">
        <v>4873.99</v>
      </c>
      <c r="C353" s="492">
        <v>4873.99</v>
      </c>
      <c r="D353" s="492"/>
      <c r="E353" s="492"/>
      <c r="F353" s="492">
        <v>4873.99</v>
      </c>
      <c r="G353" s="492"/>
      <c r="H353" s="492"/>
      <c r="I353" s="492">
        <v>4873.99</v>
      </c>
      <c r="J353" s="492"/>
      <c r="K353" s="492">
        <v>4873.99</v>
      </c>
      <c r="L353" s="492"/>
      <c r="M353" s="492">
        <v>4873.99</v>
      </c>
      <c r="N353" s="492"/>
      <c r="O353" s="204">
        <v>4873.99</v>
      </c>
      <c r="P353" s="492">
        <v>0</v>
      </c>
      <c r="Q353" s="492"/>
      <c r="R353" s="492">
        <v>0</v>
      </c>
      <c r="S353" s="492"/>
      <c r="T353" s="204">
        <v>0</v>
      </c>
    </row>
    <row r="354" spans="1:20">
      <c r="A354" s="474" t="s">
        <v>586</v>
      </c>
      <c r="B354" s="474"/>
      <c r="C354" s="474"/>
      <c r="D354" s="474"/>
      <c r="E354" s="474"/>
      <c r="F354" s="474"/>
      <c r="G354" s="474"/>
      <c r="H354" s="474"/>
      <c r="I354" s="474"/>
      <c r="J354" s="474"/>
      <c r="K354" s="474"/>
      <c r="L354" s="474"/>
      <c r="M354" s="474"/>
      <c r="N354" s="474"/>
      <c r="O354" s="474"/>
      <c r="P354" s="474"/>
      <c r="Q354" s="474"/>
      <c r="R354" s="474"/>
      <c r="S354" s="474"/>
      <c r="T354" s="474"/>
    </row>
    <row r="355" spans="1:20">
      <c r="A355" s="205"/>
      <c r="B355" s="206">
        <v>21003.66</v>
      </c>
      <c r="C355" s="493">
        <v>17211.07</v>
      </c>
      <c r="D355" s="493"/>
      <c r="E355" s="493"/>
      <c r="F355" s="493">
        <v>17211.07</v>
      </c>
      <c r="G355" s="493"/>
      <c r="H355" s="493"/>
      <c r="I355" s="493">
        <v>17211.07</v>
      </c>
      <c r="J355" s="493"/>
      <c r="K355" s="493">
        <v>17211.07</v>
      </c>
      <c r="L355" s="493"/>
      <c r="M355" s="493">
        <v>15212.57</v>
      </c>
      <c r="N355" s="493"/>
      <c r="O355" s="206">
        <v>15212.57</v>
      </c>
      <c r="P355" s="493">
        <v>3792.59</v>
      </c>
      <c r="Q355" s="493"/>
      <c r="R355" s="493">
        <v>0</v>
      </c>
      <c r="S355" s="493"/>
      <c r="T355" s="206">
        <v>1998.5</v>
      </c>
    </row>
    <row r="356" spans="1:20">
      <c r="A356" s="471" t="s">
        <v>593</v>
      </c>
      <c r="B356" s="471"/>
      <c r="C356" s="471"/>
      <c r="D356" s="471"/>
      <c r="E356" s="471"/>
      <c r="F356" s="471"/>
      <c r="G356" s="471"/>
      <c r="H356" s="471"/>
      <c r="I356" s="471"/>
      <c r="J356" s="471"/>
      <c r="K356" s="471"/>
      <c r="L356" s="471"/>
      <c r="M356" s="471"/>
      <c r="N356" s="471"/>
      <c r="O356" s="471"/>
      <c r="P356" s="471"/>
      <c r="Q356" s="471"/>
      <c r="R356" s="471"/>
      <c r="S356" s="471"/>
      <c r="T356" s="471"/>
    </row>
    <row r="357" spans="1:20">
      <c r="A357" s="203"/>
      <c r="B357" s="204">
        <v>21003.66</v>
      </c>
      <c r="C357" s="492">
        <v>17211.07</v>
      </c>
      <c r="D357" s="492"/>
      <c r="E357" s="492"/>
      <c r="F357" s="492">
        <v>17211.07</v>
      </c>
      <c r="G357" s="492"/>
      <c r="H357" s="492"/>
      <c r="I357" s="492">
        <v>17211.07</v>
      </c>
      <c r="J357" s="492"/>
      <c r="K357" s="492">
        <v>17211.07</v>
      </c>
      <c r="L357" s="492"/>
      <c r="M357" s="492">
        <v>15212.57</v>
      </c>
      <c r="N357" s="492"/>
      <c r="O357" s="204">
        <v>15212.57</v>
      </c>
      <c r="P357" s="492">
        <v>3792.59</v>
      </c>
      <c r="Q357" s="492"/>
      <c r="R357" s="492">
        <v>0</v>
      </c>
      <c r="S357" s="492"/>
      <c r="T357" s="204">
        <v>1998.5</v>
      </c>
    </row>
    <row r="358" spans="1:20">
      <c r="A358" s="495" t="s">
        <v>604</v>
      </c>
      <c r="B358" s="495"/>
      <c r="C358" s="495"/>
      <c r="D358" s="495"/>
      <c r="E358" s="495"/>
      <c r="F358" s="495"/>
      <c r="G358" s="495"/>
      <c r="H358" s="495"/>
      <c r="I358" s="495"/>
      <c r="J358" s="495"/>
      <c r="K358" s="495"/>
      <c r="L358" s="495"/>
      <c r="M358" s="495"/>
      <c r="N358" s="495"/>
      <c r="O358" s="495"/>
      <c r="P358" s="495"/>
      <c r="Q358" s="495"/>
      <c r="R358" s="495"/>
      <c r="S358" s="495"/>
      <c r="T358" s="495"/>
    </row>
    <row r="359" spans="1:20">
      <c r="A359" s="205"/>
      <c r="B359" s="206">
        <v>1000</v>
      </c>
      <c r="C359" s="493">
        <v>811.07</v>
      </c>
      <c r="D359" s="493"/>
      <c r="E359" s="493"/>
      <c r="F359" s="493">
        <v>811.07</v>
      </c>
      <c r="G359" s="493"/>
      <c r="H359" s="493"/>
      <c r="I359" s="493">
        <v>811.07</v>
      </c>
      <c r="J359" s="493"/>
      <c r="K359" s="493">
        <v>811.07</v>
      </c>
      <c r="L359" s="493"/>
      <c r="M359" s="493">
        <v>811.07</v>
      </c>
      <c r="N359" s="493"/>
      <c r="O359" s="206">
        <v>811.07</v>
      </c>
      <c r="P359" s="493">
        <v>188.93</v>
      </c>
      <c r="Q359" s="493"/>
      <c r="R359" s="493">
        <v>0</v>
      </c>
      <c r="S359" s="493"/>
      <c r="T359" s="206">
        <v>0</v>
      </c>
    </row>
    <row r="360" spans="1:20">
      <c r="A360" s="494" t="s">
        <v>606</v>
      </c>
      <c r="B360" s="494"/>
      <c r="C360" s="494"/>
      <c r="D360" s="494"/>
      <c r="E360" s="494"/>
      <c r="F360" s="494"/>
      <c r="G360" s="494"/>
      <c r="H360" s="494"/>
      <c r="I360" s="494"/>
      <c r="J360" s="494"/>
      <c r="K360" s="494"/>
      <c r="L360" s="494"/>
      <c r="M360" s="494"/>
      <c r="N360" s="494"/>
      <c r="O360" s="494"/>
      <c r="P360" s="494"/>
      <c r="Q360" s="494"/>
      <c r="R360" s="494"/>
      <c r="S360" s="494"/>
      <c r="T360" s="494"/>
    </row>
    <row r="361" spans="1:20">
      <c r="A361" s="203"/>
      <c r="B361" s="204">
        <v>1600</v>
      </c>
      <c r="C361" s="492">
        <v>1201.56</v>
      </c>
      <c r="D361" s="492"/>
      <c r="E361" s="492"/>
      <c r="F361" s="492">
        <v>1201.56</v>
      </c>
      <c r="G361" s="492"/>
      <c r="H361" s="492"/>
      <c r="I361" s="492">
        <v>1201.56</v>
      </c>
      <c r="J361" s="492"/>
      <c r="K361" s="492">
        <v>1201.56</v>
      </c>
      <c r="L361" s="492"/>
      <c r="M361" s="492">
        <v>1201.56</v>
      </c>
      <c r="N361" s="492"/>
      <c r="O361" s="204">
        <v>1201.56</v>
      </c>
      <c r="P361" s="492">
        <v>398.44</v>
      </c>
      <c r="Q361" s="492"/>
      <c r="R361" s="492">
        <v>0</v>
      </c>
      <c r="S361" s="492"/>
      <c r="T361" s="204">
        <v>0</v>
      </c>
    </row>
    <row r="362" spans="1:20">
      <c r="A362" s="495" t="s">
        <v>607</v>
      </c>
      <c r="B362" s="495"/>
      <c r="C362" s="495"/>
      <c r="D362" s="495"/>
      <c r="E362" s="495"/>
      <c r="F362" s="495"/>
      <c r="G362" s="495"/>
      <c r="H362" s="495"/>
      <c r="I362" s="495"/>
      <c r="J362" s="495"/>
      <c r="K362" s="495"/>
      <c r="L362" s="495"/>
      <c r="M362" s="495"/>
      <c r="N362" s="495"/>
      <c r="O362" s="495"/>
      <c r="P362" s="495"/>
      <c r="Q362" s="495"/>
      <c r="R362" s="495"/>
      <c r="S362" s="495"/>
      <c r="T362" s="495"/>
    </row>
    <row r="363" spans="1:20">
      <c r="A363" s="205"/>
      <c r="B363" s="206">
        <v>13603.66</v>
      </c>
      <c r="C363" s="493">
        <v>13198.44</v>
      </c>
      <c r="D363" s="493"/>
      <c r="E363" s="493"/>
      <c r="F363" s="493">
        <v>13198.44</v>
      </c>
      <c r="G363" s="493"/>
      <c r="H363" s="493"/>
      <c r="I363" s="493">
        <v>13198.44</v>
      </c>
      <c r="J363" s="493"/>
      <c r="K363" s="493">
        <v>13198.44</v>
      </c>
      <c r="L363" s="493"/>
      <c r="M363" s="493">
        <v>11199.94</v>
      </c>
      <c r="N363" s="493"/>
      <c r="O363" s="206">
        <v>11199.94</v>
      </c>
      <c r="P363" s="493">
        <v>405.22</v>
      </c>
      <c r="Q363" s="493"/>
      <c r="R363" s="493">
        <v>0</v>
      </c>
      <c r="S363" s="493"/>
      <c r="T363" s="206">
        <v>1998.5</v>
      </c>
    </row>
    <row r="364" spans="1:20">
      <c r="A364" s="494" t="s">
        <v>609</v>
      </c>
      <c r="B364" s="494"/>
      <c r="C364" s="494"/>
      <c r="D364" s="494"/>
      <c r="E364" s="494"/>
      <c r="F364" s="494"/>
      <c r="G364" s="494"/>
      <c r="H364" s="494"/>
      <c r="I364" s="494"/>
      <c r="J364" s="494"/>
      <c r="K364" s="494"/>
      <c r="L364" s="494"/>
      <c r="M364" s="494"/>
      <c r="N364" s="494"/>
      <c r="O364" s="494"/>
      <c r="P364" s="494"/>
      <c r="Q364" s="494"/>
      <c r="R364" s="494"/>
      <c r="S364" s="494"/>
      <c r="T364" s="494"/>
    </row>
    <row r="365" spans="1:20">
      <c r="A365" s="203"/>
      <c r="B365" s="204">
        <v>4800</v>
      </c>
      <c r="C365" s="492">
        <v>2000</v>
      </c>
      <c r="D365" s="492"/>
      <c r="E365" s="492"/>
      <c r="F365" s="492">
        <v>2000</v>
      </c>
      <c r="G365" s="492"/>
      <c r="H365" s="492"/>
      <c r="I365" s="492">
        <v>2000</v>
      </c>
      <c r="J365" s="492"/>
      <c r="K365" s="492">
        <v>2000</v>
      </c>
      <c r="L365" s="492"/>
      <c r="M365" s="492">
        <v>2000</v>
      </c>
      <c r="N365" s="492"/>
      <c r="O365" s="204">
        <v>2000</v>
      </c>
      <c r="P365" s="492">
        <v>2800</v>
      </c>
      <c r="Q365" s="492"/>
      <c r="R365" s="492">
        <v>0</v>
      </c>
      <c r="S365" s="492"/>
      <c r="T365" s="204">
        <v>0</v>
      </c>
    </row>
    <row r="366" spans="1:20">
      <c r="A366" s="495" t="s">
        <v>563</v>
      </c>
      <c r="B366" s="495"/>
      <c r="C366" s="495"/>
      <c r="D366" s="495"/>
      <c r="E366" s="495"/>
      <c r="F366" s="495"/>
      <c r="G366" s="495"/>
      <c r="H366" s="495"/>
      <c r="I366" s="495"/>
      <c r="J366" s="495"/>
      <c r="K366" s="495"/>
      <c r="L366" s="495"/>
      <c r="M366" s="495"/>
      <c r="N366" s="495"/>
      <c r="O366" s="495"/>
      <c r="P366" s="495"/>
      <c r="Q366" s="495"/>
      <c r="R366" s="495"/>
      <c r="S366" s="495"/>
      <c r="T366" s="495"/>
    </row>
    <row r="367" spans="1:20">
      <c r="A367" s="205"/>
      <c r="B367" s="206">
        <v>159487.04000000001</v>
      </c>
      <c r="C367" s="493">
        <v>136359.96</v>
      </c>
      <c r="D367" s="493"/>
      <c r="E367" s="493"/>
      <c r="F367" s="493">
        <v>136359.96</v>
      </c>
      <c r="G367" s="493"/>
      <c r="H367" s="493"/>
      <c r="I367" s="493">
        <v>136359.96</v>
      </c>
      <c r="J367" s="493"/>
      <c r="K367" s="493">
        <v>136359.96</v>
      </c>
      <c r="L367" s="493"/>
      <c r="M367" s="493">
        <v>129508.04</v>
      </c>
      <c r="N367" s="493"/>
      <c r="O367" s="206">
        <v>129508.04</v>
      </c>
      <c r="P367" s="493">
        <v>23127.08</v>
      </c>
      <c r="Q367" s="493"/>
      <c r="R367" s="493">
        <v>0</v>
      </c>
      <c r="S367" s="493"/>
      <c r="T367" s="206">
        <v>6851.92</v>
      </c>
    </row>
    <row r="368" spans="1:20">
      <c r="A368" s="471" t="s">
        <v>551</v>
      </c>
      <c r="B368" s="471"/>
      <c r="C368" s="471"/>
      <c r="D368" s="471"/>
      <c r="E368" s="471"/>
      <c r="F368" s="471"/>
      <c r="G368" s="471"/>
      <c r="H368" s="471"/>
      <c r="I368" s="471"/>
      <c r="J368" s="471"/>
      <c r="K368" s="471"/>
      <c r="L368" s="471"/>
      <c r="M368" s="471"/>
      <c r="N368" s="471"/>
      <c r="O368" s="471"/>
      <c r="P368" s="471"/>
      <c r="Q368" s="471"/>
      <c r="R368" s="471"/>
      <c r="S368" s="471"/>
      <c r="T368" s="471"/>
    </row>
    <row r="369" spans="1:20">
      <c r="A369" s="203"/>
      <c r="B369" s="204">
        <v>159487.04000000001</v>
      </c>
      <c r="C369" s="492">
        <v>136359.96</v>
      </c>
      <c r="D369" s="492"/>
      <c r="E369" s="492"/>
      <c r="F369" s="492">
        <v>136359.96</v>
      </c>
      <c r="G369" s="492"/>
      <c r="H369" s="492"/>
      <c r="I369" s="492">
        <v>136359.96</v>
      </c>
      <c r="J369" s="492"/>
      <c r="K369" s="492">
        <v>136359.96</v>
      </c>
      <c r="L369" s="492"/>
      <c r="M369" s="492">
        <v>129508.04</v>
      </c>
      <c r="N369" s="492"/>
      <c r="O369" s="204">
        <v>129508.04</v>
      </c>
      <c r="P369" s="492">
        <v>23127.08</v>
      </c>
      <c r="Q369" s="492"/>
      <c r="R369" s="492">
        <v>0</v>
      </c>
      <c r="S369" s="492"/>
      <c r="T369" s="204">
        <v>6851.92</v>
      </c>
    </row>
    <row r="370" spans="1:20">
      <c r="A370" s="474" t="s">
        <v>552</v>
      </c>
      <c r="B370" s="474"/>
      <c r="C370" s="474"/>
      <c r="D370" s="474"/>
      <c r="E370" s="474"/>
      <c r="F370" s="474"/>
      <c r="G370" s="474"/>
      <c r="H370" s="474"/>
      <c r="I370" s="474"/>
      <c r="J370" s="474"/>
      <c r="K370" s="474"/>
      <c r="L370" s="474"/>
      <c r="M370" s="474"/>
      <c r="N370" s="474"/>
      <c r="O370" s="474"/>
      <c r="P370" s="474"/>
      <c r="Q370" s="474"/>
      <c r="R370" s="474"/>
      <c r="S370" s="474"/>
      <c r="T370" s="474"/>
    </row>
    <row r="371" spans="1:20">
      <c r="A371" s="205"/>
      <c r="B371" s="206">
        <v>51037.04</v>
      </c>
      <c r="C371" s="493">
        <v>47298.9</v>
      </c>
      <c r="D371" s="493"/>
      <c r="E371" s="493"/>
      <c r="F371" s="493">
        <v>47298.9</v>
      </c>
      <c r="G371" s="493"/>
      <c r="H371" s="493"/>
      <c r="I371" s="493">
        <v>47298.9</v>
      </c>
      <c r="J371" s="493"/>
      <c r="K371" s="493">
        <v>47298.9</v>
      </c>
      <c r="L371" s="493"/>
      <c r="M371" s="493">
        <v>46768.7</v>
      </c>
      <c r="N371" s="493"/>
      <c r="O371" s="206">
        <v>46768.7</v>
      </c>
      <c r="P371" s="493">
        <v>3738.14</v>
      </c>
      <c r="Q371" s="493"/>
      <c r="R371" s="493">
        <v>0</v>
      </c>
      <c r="S371" s="493"/>
      <c r="T371" s="206">
        <v>530.20000000000005</v>
      </c>
    </row>
    <row r="372" spans="1:20">
      <c r="A372" s="471" t="s">
        <v>553</v>
      </c>
      <c r="B372" s="471"/>
      <c r="C372" s="471"/>
      <c r="D372" s="471"/>
      <c r="E372" s="471"/>
      <c r="F372" s="471"/>
      <c r="G372" s="471"/>
      <c r="H372" s="471"/>
      <c r="I372" s="471"/>
      <c r="J372" s="471"/>
      <c r="K372" s="471"/>
      <c r="L372" s="471"/>
      <c r="M372" s="471"/>
      <c r="N372" s="471"/>
      <c r="O372" s="471"/>
      <c r="P372" s="471"/>
      <c r="Q372" s="471"/>
      <c r="R372" s="471"/>
      <c r="S372" s="471"/>
      <c r="T372" s="471"/>
    </row>
    <row r="373" spans="1:20">
      <c r="A373" s="203"/>
      <c r="B373" s="204">
        <v>51037.04</v>
      </c>
      <c r="C373" s="492">
        <v>47298.9</v>
      </c>
      <c r="D373" s="492"/>
      <c r="E373" s="492"/>
      <c r="F373" s="492">
        <v>47298.9</v>
      </c>
      <c r="G373" s="492"/>
      <c r="H373" s="492"/>
      <c r="I373" s="492">
        <v>47298.9</v>
      </c>
      <c r="J373" s="492"/>
      <c r="K373" s="492">
        <v>47298.9</v>
      </c>
      <c r="L373" s="492"/>
      <c r="M373" s="492">
        <v>46768.7</v>
      </c>
      <c r="N373" s="492"/>
      <c r="O373" s="204">
        <v>46768.7</v>
      </c>
      <c r="P373" s="492">
        <v>3738.14</v>
      </c>
      <c r="Q373" s="492"/>
      <c r="R373" s="492">
        <v>0</v>
      </c>
      <c r="S373" s="492"/>
      <c r="T373" s="204">
        <v>530.20000000000005</v>
      </c>
    </row>
    <row r="374" spans="1:20">
      <c r="A374" s="474" t="s">
        <v>554</v>
      </c>
      <c r="B374" s="474"/>
      <c r="C374" s="474"/>
      <c r="D374" s="474"/>
      <c r="E374" s="474"/>
      <c r="F374" s="474"/>
      <c r="G374" s="474"/>
      <c r="H374" s="474"/>
      <c r="I374" s="474"/>
      <c r="J374" s="474"/>
      <c r="K374" s="474"/>
      <c r="L374" s="474"/>
      <c r="M374" s="474"/>
      <c r="N374" s="474"/>
      <c r="O374" s="474"/>
      <c r="P374" s="474"/>
      <c r="Q374" s="474"/>
      <c r="R374" s="474"/>
      <c r="S374" s="474"/>
      <c r="T374" s="474"/>
    </row>
    <row r="375" spans="1:20">
      <c r="A375" s="205"/>
      <c r="B375" s="206">
        <v>35094.04</v>
      </c>
      <c r="C375" s="493">
        <v>33229.9</v>
      </c>
      <c r="D375" s="493"/>
      <c r="E375" s="493"/>
      <c r="F375" s="493">
        <v>33229.9</v>
      </c>
      <c r="G375" s="493"/>
      <c r="H375" s="493"/>
      <c r="I375" s="493">
        <v>33229.9</v>
      </c>
      <c r="J375" s="493"/>
      <c r="K375" s="493">
        <v>33229.9</v>
      </c>
      <c r="L375" s="493"/>
      <c r="M375" s="493">
        <v>33229.9</v>
      </c>
      <c r="N375" s="493"/>
      <c r="O375" s="206">
        <v>33229.9</v>
      </c>
      <c r="P375" s="493">
        <v>1864.14</v>
      </c>
      <c r="Q375" s="493"/>
      <c r="R375" s="493">
        <v>0</v>
      </c>
      <c r="S375" s="493"/>
      <c r="T375" s="206">
        <v>0</v>
      </c>
    </row>
    <row r="376" spans="1:20">
      <c r="A376" s="494" t="s">
        <v>555</v>
      </c>
      <c r="B376" s="494"/>
      <c r="C376" s="494"/>
      <c r="D376" s="494"/>
      <c r="E376" s="494"/>
      <c r="F376" s="494"/>
      <c r="G376" s="494"/>
      <c r="H376" s="494"/>
      <c r="I376" s="494"/>
      <c r="J376" s="494"/>
      <c r="K376" s="494"/>
      <c r="L376" s="494"/>
      <c r="M376" s="494"/>
      <c r="N376" s="494"/>
      <c r="O376" s="494"/>
      <c r="P376" s="494"/>
      <c r="Q376" s="494"/>
      <c r="R376" s="494"/>
      <c r="S376" s="494"/>
      <c r="T376" s="494"/>
    </row>
    <row r="377" spans="1:20">
      <c r="A377" s="203"/>
      <c r="B377" s="204">
        <v>25853.599999999999</v>
      </c>
      <c r="C377" s="492">
        <v>25553.599999999999</v>
      </c>
      <c r="D377" s="492"/>
      <c r="E377" s="492"/>
      <c r="F377" s="492">
        <v>25553.599999999999</v>
      </c>
      <c r="G377" s="492"/>
      <c r="H377" s="492"/>
      <c r="I377" s="492">
        <v>25553.599999999999</v>
      </c>
      <c r="J377" s="492"/>
      <c r="K377" s="492">
        <v>25553.599999999999</v>
      </c>
      <c r="L377" s="492"/>
      <c r="M377" s="492">
        <v>25553.599999999999</v>
      </c>
      <c r="N377" s="492"/>
      <c r="O377" s="204">
        <v>25553.599999999999</v>
      </c>
      <c r="P377" s="492">
        <v>300</v>
      </c>
      <c r="Q377" s="492"/>
      <c r="R377" s="492">
        <v>0</v>
      </c>
      <c r="S377" s="492"/>
      <c r="T377" s="204">
        <v>0</v>
      </c>
    </row>
    <row r="378" spans="1:20">
      <c r="A378" s="495" t="s">
        <v>564</v>
      </c>
      <c r="B378" s="495"/>
      <c r="C378" s="495"/>
      <c r="D378" s="495"/>
      <c r="E378" s="495"/>
      <c r="F378" s="495"/>
      <c r="G378" s="495"/>
      <c r="H378" s="495"/>
      <c r="I378" s="495"/>
      <c r="J378" s="495"/>
      <c r="K378" s="495"/>
      <c r="L378" s="495"/>
      <c r="M378" s="495"/>
      <c r="N378" s="495"/>
      <c r="O378" s="495"/>
      <c r="P378" s="495"/>
      <c r="Q378" s="495"/>
      <c r="R378" s="495"/>
      <c r="S378" s="495"/>
      <c r="T378" s="495"/>
    </row>
    <row r="379" spans="1:20">
      <c r="A379" s="205"/>
      <c r="B379" s="206">
        <v>3600</v>
      </c>
      <c r="C379" s="493">
        <v>3600</v>
      </c>
      <c r="D379" s="493"/>
      <c r="E379" s="493"/>
      <c r="F379" s="493">
        <v>3600</v>
      </c>
      <c r="G379" s="493"/>
      <c r="H379" s="493"/>
      <c r="I379" s="493">
        <v>3600</v>
      </c>
      <c r="J379" s="493"/>
      <c r="K379" s="493">
        <v>3600</v>
      </c>
      <c r="L379" s="493"/>
      <c r="M379" s="493">
        <v>3600</v>
      </c>
      <c r="N379" s="493"/>
      <c r="O379" s="206">
        <v>3600</v>
      </c>
      <c r="P379" s="493">
        <v>0</v>
      </c>
      <c r="Q379" s="493"/>
      <c r="R379" s="493">
        <v>0</v>
      </c>
      <c r="S379" s="493"/>
      <c r="T379" s="206">
        <v>0</v>
      </c>
    </row>
    <row r="380" spans="1:20">
      <c r="A380" s="494" t="s">
        <v>565</v>
      </c>
      <c r="B380" s="494"/>
      <c r="C380" s="494"/>
      <c r="D380" s="494"/>
      <c r="E380" s="494"/>
      <c r="F380" s="494"/>
      <c r="G380" s="494"/>
      <c r="H380" s="494"/>
      <c r="I380" s="494"/>
      <c r="J380" s="494"/>
      <c r="K380" s="494"/>
      <c r="L380" s="494"/>
      <c r="M380" s="494"/>
      <c r="N380" s="494"/>
      <c r="O380" s="494"/>
      <c r="P380" s="494"/>
      <c r="Q380" s="494"/>
      <c r="R380" s="494"/>
      <c r="S380" s="494"/>
      <c r="T380" s="494"/>
    </row>
    <row r="381" spans="1:20">
      <c r="A381" s="203"/>
      <c r="B381" s="204">
        <v>4940.4399999999996</v>
      </c>
      <c r="C381" s="492">
        <v>3376.3</v>
      </c>
      <c r="D381" s="492"/>
      <c r="E381" s="492"/>
      <c r="F381" s="492">
        <v>3376.3</v>
      </c>
      <c r="G381" s="492"/>
      <c r="H381" s="492"/>
      <c r="I381" s="492">
        <v>3376.3</v>
      </c>
      <c r="J381" s="492"/>
      <c r="K381" s="492">
        <v>3376.3</v>
      </c>
      <c r="L381" s="492"/>
      <c r="M381" s="492">
        <v>3376.3</v>
      </c>
      <c r="N381" s="492"/>
      <c r="O381" s="204">
        <v>3376.3</v>
      </c>
      <c r="P381" s="492">
        <v>1564.14</v>
      </c>
      <c r="Q381" s="492"/>
      <c r="R381" s="492">
        <v>0</v>
      </c>
      <c r="S381" s="492"/>
      <c r="T381" s="204">
        <v>0</v>
      </c>
    </row>
    <row r="382" spans="1:20">
      <c r="A382" s="495" t="s">
        <v>566</v>
      </c>
      <c r="B382" s="495"/>
      <c r="C382" s="495"/>
      <c r="D382" s="495"/>
      <c r="E382" s="495"/>
      <c r="F382" s="495"/>
      <c r="G382" s="495"/>
      <c r="H382" s="495"/>
      <c r="I382" s="495"/>
      <c r="J382" s="495"/>
      <c r="K382" s="495"/>
      <c r="L382" s="495"/>
      <c r="M382" s="495"/>
      <c r="N382" s="495"/>
      <c r="O382" s="495"/>
      <c r="P382" s="495"/>
      <c r="Q382" s="495"/>
      <c r="R382" s="495"/>
      <c r="S382" s="495"/>
      <c r="T382" s="495"/>
    </row>
    <row r="383" spans="1:20">
      <c r="A383" s="205"/>
      <c r="B383" s="206">
        <v>700</v>
      </c>
      <c r="C383" s="493">
        <v>700</v>
      </c>
      <c r="D383" s="493"/>
      <c r="E383" s="493"/>
      <c r="F383" s="493">
        <v>700</v>
      </c>
      <c r="G383" s="493"/>
      <c r="H383" s="493"/>
      <c r="I383" s="493">
        <v>700</v>
      </c>
      <c r="J383" s="493"/>
      <c r="K383" s="493">
        <v>700</v>
      </c>
      <c r="L383" s="493"/>
      <c r="M383" s="493">
        <v>700</v>
      </c>
      <c r="N383" s="493"/>
      <c r="O383" s="206">
        <v>700</v>
      </c>
      <c r="P383" s="493">
        <v>0</v>
      </c>
      <c r="Q383" s="493"/>
      <c r="R383" s="493">
        <v>0</v>
      </c>
      <c r="S383" s="493"/>
      <c r="T383" s="206">
        <v>0</v>
      </c>
    </row>
    <row r="384" spans="1:20">
      <c r="A384" s="471" t="s">
        <v>567</v>
      </c>
      <c r="B384" s="471"/>
      <c r="C384" s="471"/>
      <c r="D384" s="471"/>
      <c r="E384" s="471"/>
      <c r="F384" s="471"/>
      <c r="G384" s="471"/>
      <c r="H384" s="471"/>
      <c r="I384" s="471"/>
      <c r="J384" s="471"/>
      <c r="K384" s="471"/>
      <c r="L384" s="471"/>
      <c r="M384" s="471"/>
      <c r="N384" s="471"/>
      <c r="O384" s="471"/>
      <c r="P384" s="471"/>
      <c r="Q384" s="471"/>
      <c r="R384" s="471"/>
      <c r="S384" s="471"/>
      <c r="T384" s="471"/>
    </row>
    <row r="385" spans="1:20">
      <c r="A385" s="203"/>
      <c r="B385" s="204">
        <v>9323</v>
      </c>
      <c r="C385" s="492">
        <v>9286</v>
      </c>
      <c r="D385" s="492"/>
      <c r="E385" s="492"/>
      <c r="F385" s="492">
        <v>9286</v>
      </c>
      <c r="G385" s="492"/>
      <c r="H385" s="492"/>
      <c r="I385" s="492">
        <v>9286</v>
      </c>
      <c r="J385" s="492"/>
      <c r="K385" s="492">
        <v>9286</v>
      </c>
      <c r="L385" s="492"/>
      <c r="M385" s="492">
        <v>8755.7999999999993</v>
      </c>
      <c r="N385" s="492"/>
      <c r="O385" s="204">
        <v>8755.7999999999993</v>
      </c>
      <c r="P385" s="492">
        <v>37</v>
      </c>
      <c r="Q385" s="492"/>
      <c r="R385" s="492">
        <v>0</v>
      </c>
      <c r="S385" s="492"/>
      <c r="T385" s="204">
        <v>530.20000000000005</v>
      </c>
    </row>
    <row r="386" spans="1:20">
      <c r="A386" s="495" t="s">
        <v>568</v>
      </c>
      <c r="B386" s="495"/>
      <c r="C386" s="495"/>
      <c r="D386" s="495"/>
      <c r="E386" s="495"/>
      <c r="F386" s="495"/>
      <c r="G386" s="495"/>
      <c r="H386" s="495"/>
      <c r="I386" s="495"/>
      <c r="J386" s="495"/>
      <c r="K386" s="495"/>
      <c r="L386" s="495"/>
      <c r="M386" s="495"/>
      <c r="N386" s="495"/>
      <c r="O386" s="495"/>
      <c r="P386" s="495"/>
      <c r="Q386" s="495"/>
      <c r="R386" s="495"/>
      <c r="S386" s="495"/>
      <c r="T386" s="495"/>
    </row>
    <row r="387" spans="1:20">
      <c r="A387" s="205"/>
      <c r="B387" s="206">
        <v>6526</v>
      </c>
      <c r="C387" s="493">
        <v>6489</v>
      </c>
      <c r="D387" s="493"/>
      <c r="E387" s="493"/>
      <c r="F387" s="493">
        <v>6489</v>
      </c>
      <c r="G387" s="493"/>
      <c r="H387" s="493"/>
      <c r="I387" s="493">
        <v>6489</v>
      </c>
      <c r="J387" s="493"/>
      <c r="K387" s="493">
        <v>6489</v>
      </c>
      <c r="L387" s="493"/>
      <c r="M387" s="493">
        <v>6167.34</v>
      </c>
      <c r="N387" s="493"/>
      <c r="O387" s="206">
        <v>6167.34</v>
      </c>
      <c r="P387" s="493">
        <v>37</v>
      </c>
      <c r="Q387" s="493"/>
      <c r="R387" s="493">
        <v>0</v>
      </c>
      <c r="S387" s="493"/>
      <c r="T387" s="206">
        <v>321.66000000000003</v>
      </c>
    </row>
    <row r="388" spans="1:20">
      <c r="A388" s="494" t="s">
        <v>569</v>
      </c>
      <c r="B388" s="494"/>
      <c r="C388" s="494"/>
      <c r="D388" s="494"/>
      <c r="E388" s="494"/>
      <c r="F388" s="494"/>
      <c r="G388" s="494"/>
      <c r="H388" s="494"/>
      <c r="I388" s="494"/>
      <c r="J388" s="494"/>
      <c r="K388" s="494"/>
      <c r="L388" s="494"/>
      <c r="M388" s="494"/>
      <c r="N388" s="494"/>
      <c r="O388" s="494"/>
      <c r="P388" s="494"/>
      <c r="Q388" s="494"/>
      <c r="R388" s="494"/>
      <c r="S388" s="494"/>
      <c r="T388" s="494"/>
    </row>
    <row r="389" spans="1:20">
      <c r="A389" s="203"/>
      <c r="B389" s="204">
        <v>2486</v>
      </c>
      <c r="C389" s="492">
        <v>2486</v>
      </c>
      <c r="D389" s="492"/>
      <c r="E389" s="492"/>
      <c r="F389" s="492">
        <v>2486</v>
      </c>
      <c r="G389" s="492"/>
      <c r="H389" s="492"/>
      <c r="I389" s="492">
        <v>2486</v>
      </c>
      <c r="J389" s="492"/>
      <c r="K389" s="492">
        <v>2486</v>
      </c>
      <c r="L389" s="492"/>
      <c r="M389" s="492">
        <v>2314.58</v>
      </c>
      <c r="N389" s="492"/>
      <c r="O389" s="204">
        <v>2314.58</v>
      </c>
      <c r="P389" s="492">
        <v>0</v>
      </c>
      <c r="Q389" s="492"/>
      <c r="R389" s="492">
        <v>0</v>
      </c>
      <c r="S389" s="492"/>
      <c r="T389" s="204">
        <v>171.42</v>
      </c>
    </row>
    <row r="390" spans="1:20">
      <c r="A390" s="495" t="s">
        <v>570</v>
      </c>
      <c r="B390" s="495"/>
      <c r="C390" s="495"/>
      <c r="D390" s="495"/>
      <c r="E390" s="495"/>
      <c r="F390" s="495"/>
      <c r="G390" s="495"/>
      <c r="H390" s="495"/>
      <c r="I390" s="495"/>
      <c r="J390" s="495"/>
      <c r="K390" s="495"/>
      <c r="L390" s="495"/>
      <c r="M390" s="495"/>
      <c r="N390" s="495"/>
      <c r="O390" s="495"/>
      <c r="P390" s="495"/>
      <c r="Q390" s="495"/>
      <c r="R390" s="495"/>
      <c r="S390" s="495"/>
      <c r="T390" s="495"/>
    </row>
    <row r="391" spans="1:20">
      <c r="A391" s="205"/>
      <c r="B391" s="206">
        <v>311</v>
      </c>
      <c r="C391" s="493">
        <v>311</v>
      </c>
      <c r="D391" s="493"/>
      <c r="E391" s="493"/>
      <c r="F391" s="493">
        <v>311</v>
      </c>
      <c r="G391" s="493"/>
      <c r="H391" s="493"/>
      <c r="I391" s="493">
        <v>311</v>
      </c>
      <c r="J391" s="493"/>
      <c r="K391" s="493">
        <v>311</v>
      </c>
      <c r="L391" s="493"/>
      <c r="M391" s="493">
        <v>273.88</v>
      </c>
      <c r="N391" s="493"/>
      <c r="O391" s="206">
        <v>273.88</v>
      </c>
      <c r="P391" s="493">
        <v>0</v>
      </c>
      <c r="Q391" s="493"/>
      <c r="R391" s="493">
        <v>0</v>
      </c>
      <c r="S391" s="493"/>
      <c r="T391" s="206">
        <v>37.119999999999997</v>
      </c>
    </row>
    <row r="392" spans="1:20">
      <c r="A392" s="471" t="s">
        <v>571</v>
      </c>
      <c r="B392" s="471"/>
      <c r="C392" s="471"/>
      <c r="D392" s="471"/>
      <c r="E392" s="471"/>
      <c r="F392" s="471"/>
      <c r="G392" s="471"/>
      <c r="H392" s="471"/>
      <c r="I392" s="471"/>
      <c r="J392" s="471"/>
      <c r="K392" s="471"/>
      <c r="L392" s="471"/>
      <c r="M392" s="471"/>
      <c r="N392" s="471"/>
      <c r="O392" s="471"/>
      <c r="P392" s="471"/>
      <c r="Q392" s="471"/>
      <c r="R392" s="471"/>
      <c r="S392" s="471"/>
      <c r="T392" s="471"/>
    </row>
    <row r="393" spans="1:20">
      <c r="A393" s="203"/>
      <c r="B393" s="204">
        <v>6620</v>
      </c>
      <c r="C393" s="492">
        <v>4783</v>
      </c>
      <c r="D393" s="492"/>
      <c r="E393" s="492"/>
      <c r="F393" s="492">
        <v>4783</v>
      </c>
      <c r="G393" s="492"/>
      <c r="H393" s="492"/>
      <c r="I393" s="492">
        <v>4783</v>
      </c>
      <c r="J393" s="492"/>
      <c r="K393" s="492">
        <v>4783</v>
      </c>
      <c r="L393" s="492"/>
      <c r="M393" s="492">
        <v>4783</v>
      </c>
      <c r="N393" s="492"/>
      <c r="O393" s="204">
        <v>4783</v>
      </c>
      <c r="P393" s="492">
        <v>1837</v>
      </c>
      <c r="Q393" s="492"/>
      <c r="R393" s="492">
        <v>0</v>
      </c>
      <c r="S393" s="492"/>
      <c r="T393" s="204">
        <v>0</v>
      </c>
    </row>
    <row r="394" spans="1:20">
      <c r="A394" s="495" t="s">
        <v>572</v>
      </c>
      <c r="B394" s="495"/>
      <c r="C394" s="495"/>
      <c r="D394" s="495"/>
      <c r="E394" s="495"/>
      <c r="F394" s="495"/>
      <c r="G394" s="495"/>
      <c r="H394" s="495"/>
      <c r="I394" s="495"/>
      <c r="J394" s="495"/>
      <c r="K394" s="495"/>
      <c r="L394" s="495"/>
      <c r="M394" s="495"/>
      <c r="N394" s="495"/>
      <c r="O394" s="495"/>
      <c r="P394" s="495"/>
      <c r="Q394" s="495"/>
      <c r="R394" s="495"/>
      <c r="S394" s="495"/>
      <c r="T394" s="495"/>
    </row>
    <row r="395" spans="1:20">
      <c r="A395" s="205"/>
      <c r="B395" s="206">
        <v>1100</v>
      </c>
      <c r="C395" s="493">
        <v>232</v>
      </c>
      <c r="D395" s="493"/>
      <c r="E395" s="493"/>
      <c r="F395" s="493">
        <v>232</v>
      </c>
      <c r="G395" s="493"/>
      <c r="H395" s="493"/>
      <c r="I395" s="493">
        <v>232</v>
      </c>
      <c r="J395" s="493"/>
      <c r="K395" s="493">
        <v>232</v>
      </c>
      <c r="L395" s="493"/>
      <c r="M395" s="493">
        <v>232</v>
      </c>
      <c r="N395" s="493"/>
      <c r="O395" s="206">
        <v>232</v>
      </c>
      <c r="P395" s="493">
        <v>868</v>
      </c>
      <c r="Q395" s="493"/>
      <c r="R395" s="493">
        <v>0</v>
      </c>
      <c r="S395" s="493"/>
      <c r="T395" s="206">
        <v>0</v>
      </c>
    </row>
    <row r="396" spans="1:20">
      <c r="A396" s="494" t="s">
        <v>573</v>
      </c>
      <c r="B396" s="494"/>
      <c r="C396" s="494"/>
      <c r="D396" s="494"/>
      <c r="E396" s="494"/>
      <c r="F396" s="494"/>
      <c r="G396" s="494"/>
      <c r="H396" s="494"/>
      <c r="I396" s="494"/>
      <c r="J396" s="494"/>
      <c r="K396" s="494"/>
      <c r="L396" s="494"/>
      <c r="M396" s="494"/>
      <c r="N396" s="494"/>
      <c r="O396" s="494"/>
      <c r="P396" s="494"/>
      <c r="Q396" s="494"/>
      <c r="R396" s="494"/>
      <c r="S396" s="494"/>
      <c r="T396" s="494"/>
    </row>
    <row r="397" spans="1:20">
      <c r="A397" s="203"/>
      <c r="B397" s="204">
        <v>5520</v>
      </c>
      <c r="C397" s="492">
        <v>4551</v>
      </c>
      <c r="D397" s="492"/>
      <c r="E397" s="492"/>
      <c r="F397" s="492">
        <v>4551</v>
      </c>
      <c r="G397" s="492"/>
      <c r="H397" s="492"/>
      <c r="I397" s="492">
        <v>4551</v>
      </c>
      <c r="J397" s="492"/>
      <c r="K397" s="492">
        <v>4551</v>
      </c>
      <c r="L397" s="492"/>
      <c r="M397" s="492">
        <v>4551</v>
      </c>
      <c r="N397" s="492"/>
      <c r="O397" s="204">
        <v>4551</v>
      </c>
      <c r="P397" s="492">
        <v>969</v>
      </c>
      <c r="Q397" s="492"/>
      <c r="R397" s="492">
        <v>0</v>
      </c>
      <c r="S397" s="492"/>
      <c r="T397" s="204">
        <v>0</v>
      </c>
    </row>
    <row r="398" spans="1:20">
      <c r="A398" s="474" t="s">
        <v>580</v>
      </c>
      <c r="B398" s="474"/>
      <c r="C398" s="474"/>
      <c r="D398" s="474"/>
      <c r="E398" s="474"/>
      <c r="F398" s="474"/>
      <c r="G398" s="474"/>
      <c r="H398" s="474"/>
      <c r="I398" s="474"/>
      <c r="J398" s="474"/>
      <c r="K398" s="474"/>
      <c r="L398" s="474"/>
      <c r="M398" s="474"/>
      <c r="N398" s="474"/>
      <c r="O398" s="474"/>
      <c r="P398" s="474"/>
      <c r="Q398" s="474"/>
      <c r="R398" s="474"/>
      <c r="S398" s="474"/>
      <c r="T398" s="474"/>
    </row>
    <row r="399" spans="1:20">
      <c r="A399" s="205"/>
      <c r="B399" s="206">
        <v>4150</v>
      </c>
      <c r="C399" s="493">
        <v>4150</v>
      </c>
      <c r="D399" s="493"/>
      <c r="E399" s="493"/>
      <c r="F399" s="493">
        <v>4150</v>
      </c>
      <c r="G399" s="493"/>
      <c r="H399" s="493"/>
      <c r="I399" s="493">
        <v>4150</v>
      </c>
      <c r="J399" s="493"/>
      <c r="K399" s="493">
        <v>4150</v>
      </c>
      <c r="L399" s="493"/>
      <c r="M399" s="493">
        <v>4150</v>
      </c>
      <c r="N399" s="493"/>
      <c r="O399" s="206">
        <v>4150</v>
      </c>
      <c r="P399" s="493">
        <v>0</v>
      </c>
      <c r="Q399" s="493"/>
      <c r="R399" s="493">
        <v>0</v>
      </c>
      <c r="S399" s="493"/>
      <c r="T399" s="206">
        <v>0</v>
      </c>
    </row>
    <row r="400" spans="1:20">
      <c r="A400" s="471" t="s">
        <v>581</v>
      </c>
      <c r="B400" s="471"/>
      <c r="C400" s="471"/>
      <c r="D400" s="471"/>
      <c r="E400" s="471"/>
      <c r="F400" s="471"/>
      <c r="G400" s="471"/>
      <c r="H400" s="471"/>
      <c r="I400" s="471"/>
      <c r="J400" s="471"/>
      <c r="K400" s="471"/>
      <c r="L400" s="471"/>
      <c r="M400" s="471"/>
      <c r="N400" s="471"/>
      <c r="O400" s="471"/>
      <c r="P400" s="471"/>
      <c r="Q400" s="471"/>
      <c r="R400" s="471"/>
      <c r="S400" s="471"/>
      <c r="T400" s="471"/>
    </row>
    <row r="401" spans="1:20">
      <c r="A401" s="203"/>
      <c r="B401" s="204">
        <v>4150</v>
      </c>
      <c r="C401" s="492">
        <v>4150</v>
      </c>
      <c r="D401" s="492"/>
      <c r="E401" s="492"/>
      <c r="F401" s="492">
        <v>4150</v>
      </c>
      <c r="G401" s="492"/>
      <c r="H401" s="492"/>
      <c r="I401" s="492">
        <v>4150</v>
      </c>
      <c r="J401" s="492"/>
      <c r="K401" s="492">
        <v>4150</v>
      </c>
      <c r="L401" s="492"/>
      <c r="M401" s="492">
        <v>4150</v>
      </c>
      <c r="N401" s="492"/>
      <c r="O401" s="204">
        <v>4150</v>
      </c>
      <c r="P401" s="492">
        <v>0</v>
      </c>
      <c r="Q401" s="492"/>
      <c r="R401" s="492">
        <v>0</v>
      </c>
      <c r="S401" s="492"/>
      <c r="T401" s="204">
        <v>0</v>
      </c>
    </row>
    <row r="402" spans="1:20">
      <c r="A402" s="495" t="s">
        <v>583</v>
      </c>
      <c r="B402" s="495"/>
      <c r="C402" s="495"/>
      <c r="D402" s="495"/>
      <c r="E402" s="495"/>
      <c r="F402" s="495"/>
      <c r="G402" s="495"/>
      <c r="H402" s="495"/>
      <c r="I402" s="495"/>
      <c r="J402" s="495"/>
      <c r="K402" s="495"/>
      <c r="L402" s="495"/>
      <c r="M402" s="495"/>
      <c r="N402" s="495"/>
      <c r="O402" s="495"/>
      <c r="P402" s="495"/>
      <c r="Q402" s="495"/>
      <c r="R402" s="495"/>
      <c r="S402" s="495"/>
      <c r="T402" s="495"/>
    </row>
    <row r="403" spans="1:20">
      <c r="A403" s="205"/>
      <c r="B403" s="206">
        <v>4150</v>
      </c>
      <c r="C403" s="493">
        <v>4150</v>
      </c>
      <c r="D403" s="493"/>
      <c r="E403" s="493"/>
      <c r="F403" s="493">
        <v>4150</v>
      </c>
      <c r="G403" s="493"/>
      <c r="H403" s="493"/>
      <c r="I403" s="493">
        <v>4150</v>
      </c>
      <c r="J403" s="493"/>
      <c r="K403" s="493">
        <v>4150</v>
      </c>
      <c r="L403" s="493"/>
      <c r="M403" s="493">
        <v>4150</v>
      </c>
      <c r="N403" s="493"/>
      <c r="O403" s="206">
        <v>4150</v>
      </c>
      <c r="P403" s="493">
        <v>0</v>
      </c>
      <c r="Q403" s="493"/>
      <c r="R403" s="493">
        <v>0</v>
      </c>
      <c r="S403" s="493"/>
      <c r="T403" s="206">
        <v>0</v>
      </c>
    </row>
    <row r="404" spans="1:20">
      <c r="A404" s="471" t="s">
        <v>586</v>
      </c>
      <c r="B404" s="471"/>
      <c r="C404" s="471"/>
      <c r="D404" s="471"/>
      <c r="E404" s="471"/>
      <c r="F404" s="471"/>
      <c r="G404" s="471"/>
      <c r="H404" s="471"/>
      <c r="I404" s="471"/>
      <c r="J404" s="471"/>
      <c r="K404" s="471"/>
      <c r="L404" s="471"/>
      <c r="M404" s="471"/>
      <c r="N404" s="471"/>
      <c r="O404" s="471"/>
      <c r="P404" s="471"/>
      <c r="Q404" s="471"/>
      <c r="R404" s="471"/>
      <c r="S404" s="471"/>
      <c r="T404" s="471"/>
    </row>
    <row r="405" spans="1:20">
      <c r="A405" s="203"/>
      <c r="B405" s="204">
        <v>104300</v>
      </c>
      <c r="C405" s="492">
        <v>84911.06</v>
      </c>
      <c r="D405" s="492"/>
      <c r="E405" s="492"/>
      <c r="F405" s="492">
        <v>84911.06</v>
      </c>
      <c r="G405" s="492"/>
      <c r="H405" s="492"/>
      <c r="I405" s="492">
        <v>84911.06</v>
      </c>
      <c r="J405" s="492"/>
      <c r="K405" s="492">
        <v>84911.06</v>
      </c>
      <c r="L405" s="492"/>
      <c r="M405" s="492">
        <v>78589.34</v>
      </c>
      <c r="N405" s="492"/>
      <c r="O405" s="204">
        <v>78589.34</v>
      </c>
      <c r="P405" s="492">
        <v>19388.939999999999</v>
      </c>
      <c r="Q405" s="492"/>
      <c r="R405" s="492">
        <v>0</v>
      </c>
      <c r="S405" s="492"/>
      <c r="T405" s="204">
        <v>6321.72</v>
      </c>
    </row>
    <row r="406" spans="1:20">
      <c r="A406" s="474" t="s">
        <v>593</v>
      </c>
      <c r="B406" s="474"/>
      <c r="C406" s="474"/>
      <c r="D406" s="474"/>
      <c r="E406" s="474"/>
      <c r="F406" s="474"/>
      <c r="G406" s="474"/>
      <c r="H406" s="474"/>
      <c r="I406" s="474"/>
      <c r="J406" s="474"/>
      <c r="K406" s="474"/>
      <c r="L406" s="474"/>
      <c r="M406" s="474"/>
      <c r="N406" s="474"/>
      <c r="O406" s="474"/>
      <c r="P406" s="474"/>
      <c r="Q406" s="474"/>
      <c r="R406" s="474"/>
      <c r="S406" s="474"/>
      <c r="T406" s="474"/>
    </row>
    <row r="407" spans="1:20">
      <c r="A407" s="205"/>
      <c r="B407" s="206">
        <v>104300</v>
      </c>
      <c r="C407" s="493">
        <v>84911.06</v>
      </c>
      <c r="D407" s="493"/>
      <c r="E407" s="493"/>
      <c r="F407" s="493">
        <v>84911.06</v>
      </c>
      <c r="G407" s="493"/>
      <c r="H407" s="493"/>
      <c r="I407" s="493">
        <v>84911.06</v>
      </c>
      <c r="J407" s="493"/>
      <c r="K407" s="493">
        <v>84911.06</v>
      </c>
      <c r="L407" s="493"/>
      <c r="M407" s="493">
        <v>78589.34</v>
      </c>
      <c r="N407" s="493"/>
      <c r="O407" s="206">
        <v>78589.34</v>
      </c>
      <c r="P407" s="493">
        <v>19388.939999999999</v>
      </c>
      <c r="Q407" s="493"/>
      <c r="R407" s="493">
        <v>0</v>
      </c>
      <c r="S407" s="493"/>
      <c r="T407" s="206">
        <v>6321.72</v>
      </c>
    </row>
    <row r="408" spans="1:20">
      <c r="A408" s="494" t="s">
        <v>597</v>
      </c>
      <c r="B408" s="494"/>
      <c r="C408" s="494"/>
      <c r="D408" s="494"/>
      <c r="E408" s="494"/>
      <c r="F408" s="494"/>
      <c r="G408" s="494"/>
      <c r="H408" s="494"/>
      <c r="I408" s="494"/>
      <c r="J408" s="494"/>
      <c r="K408" s="494"/>
      <c r="L408" s="494"/>
      <c r="M408" s="494"/>
      <c r="N408" s="494"/>
      <c r="O408" s="494"/>
      <c r="P408" s="494"/>
      <c r="Q408" s="494"/>
      <c r="R408" s="494"/>
      <c r="S408" s="494"/>
      <c r="T408" s="494"/>
    </row>
    <row r="409" spans="1:20">
      <c r="A409" s="203"/>
      <c r="B409" s="204">
        <v>1202.56</v>
      </c>
      <c r="C409" s="492">
        <v>1114.68</v>
      </c>
      <c r="D409" s="492"/>
      <c r="E409" s="492"/>
      <c r="F409" s="492">
        <v>1114.68</v>
      </c>
      <c r="G409" s="492"/>
      <c r="H409" s="492"/>
      <c r="I409" s="492">
        <v>1114.68</v>
      </c>
      <c r="J409" s="492"/>
      <c r="K409" s="492">
        <v>1114.68</v>
      </c>
      <c r="L409" s="492"/>
      <c r="M409" s="492">
        <v>982.95</v>
      </c>
      <c r="N409" s="492"/>
      <c r="O409" s="204">
        <v>982.95</v>
      </c>
      <c r="P409" s="492">
        <v>87.88</v>
      </c>
      <c r="Q409" s="492"/>
      <c r="R409" s="492">
        <v>0</v>
      </c>
      <c r="S409" s="492"/>
      <c r="T409" s="204">
        <v>131.72999999999999</v>
      </c>
    </row>
    <row r="410" spans="1:20">
      <c r="A410" s="495" t="s">
        <v>600</v>
      </c>
      <c r="B410" s="495"/>
      <c r="C410" s="495"/>
      <c r="D410" s="495"/>
      <c r="E410" s="495"/>
      <c r="F410" s="495"/>
      <c r="G410" s="495"/>
      <c r="H410" s="495"/>
      <c r="I410" s="495"/>
      <c r="J410" s="495"/>
      <c r="K410" s="495"/>
      <c r="L410" s="495"/>
      <c r="M410" s="495"/>
      <c r="N410" s="495"/>
      <c r="O410" s="495"/>
      <c r="P410" s="495"/>
      <c r="Q410" s="495"/>
      <c r="R410" s="495"/>
      <c r="S410" s="495"/>
      <c r="T410" s="495"/>
    </row>
    <row r="411" spans="1:20">
      <c r="A411" s="205"/>
      <c r="B411" s="206">
        <v>90000</v>
      </c>
      <c r="C411" s="493">
        <v>72000</v>
      </c>
      <c r="D411" s="493"/>
      <c r="E411" s="493"/>
      <c r="F411" s="493">
        <v>72000</v>
      </c>
      <c r="G411" s="493"/>
      <c r="H411" s="493"/>
      <c r="I411" s="493">
        <v>72000</v>
      </c>
      <c r="J411" s="493"/>
      <c r="K411" s="493">
        <v>72000</v>
      </c>
      <c r="L411" s="493"/>
      <c r="M411" s="493">
        <v>66000</v>
      </c>
      <c r="N411" s="493"/>
      <c r="O411" s="206">
        <v>66000</v>
      </c>
      <c r="P411" s="493">
        <v>18000</v>
      </c>
      <c r="Q411" s="493"/>
      <c r="R411" s="493">
        <v>0</v>
      </c>
      <c r="S411" s="493"/>
      <c r="T411" s="206">
        <v>6000</v>
      </c>
    </row>
    <row r="412" spans="1:20">
      <c r="A412" s="494" t="s">
        <v>602</v>
      </c>
      <c r="B412" s="494"/>
      <c r="C412" s="494"/>
      <c r="D412" s="494"/>
      <c r="E412" s="494"/>
      <c r="F412" s="494"/>
      <c r="G412" s="494"/>
      <c r="H412" s="494"/>
      <c r="I412" s="494"/>
      <c r="J412" s="494"/>
      <c r="K412" s="494"/>
      <c r="L412" s="494"/>
      <c r="M412" s="494"/>
      <c r="N412" s="494"/>
      <c r="O412" s="494"/>
      <c r="P412" s="494"/>
      <c r="Q412" s="494"/>
      <c r="R412" s="494"/>
      <c r="S412" s="494"/>
      <c r="T412" s="494"/>
    </row>
    <row r="413" spans="1:20">
      <c r="A413" s="203"/>
      <c r="B413" s="204">
        <v>8103.91</v>
      </c>
      <c r="C413" s="492">
        <v>8103.91</v>
      </c>
      <c r="D413" s="492"/>
      <c r="E413" s="492"/>
      <c r="F413" s="492">
        <v>8103.91</v>
      </c>
      <c r="G413" s="492"/>
      <c r="H413" s="492"/>
      <c r="I413" s="492">
        <v>8103.91</v>
      </c>
      <c r="J413" s="492"/>
      <c r="K413" s="492">
        <v>8103.91</v>
      </c>
      <c r="L413" s="492"/>
      <c r="M413" s="492">
        <v>8103.91</v>
      </c>
      <c r="N413" s="492"/>
      <c r="O413" s="204">
        <v>8103.91</v>
      </c>
      <c r="P413" s="492">
        <v>0</v>
      </c>
      <c r="Q413" s="492"/>
      <c r="R413" s="492">
        <v>0</v>
      </c>
      <c r="S413" s="492"/>
      <c r="T413" s="204">
        <v>0</v>
      </c>
    </row>
    <row r="414" spans="1:20">
      <c r="A414" s="495" t="s">
        <v>603</v>
      </c>
      <c r="B414" s="495"/>
      <c r="C414" s="495"/>
      <c r="D414" s="495"/>
      <c r="E414" s="495"/>
      <c r="F414" s="495"/>
      <c r="G414" s="495"/>
      <c r="H414" s="495"/>
      <c r="I414" s="495"/>
      <c r="J414" s="495"/>
      <c r="K414" s="495"/>
      <c r="L414" s="495"/>
      <c r="M414" s="495"/>
      <c r="N414" s="495"/>
      <c r="O414" s="495"/>
      <c r="P414" s="495"/>
      <c r="Q414" s="495"/>
      <c r="R414" s="495"/>
      <c r="S414" s="495"/>
      <c r="T414" s="495"/>
    </row>
    <row r="415" spans="1:20">
      <c r="A415" s="205"/>
      <c r="B415" s="206">
        <v>1993.53</v>
      </c>
      <c r="C415" s="493">
        <v>856.65</v>
      </c>
      <c r="D415" s="493"/>
      <c r="E415" s="493"/>
      <c r="F415" s="493">
        <v>856.65</v>
      </c>
      <c r="G415" s="493"/>
      <c r="H415" s="493"/>
      <c r="I415" s="493">
        <v>856.65</v>
      </c>
      <c r="J415" s="493"/>
      <c r="K415" s="493">
        <v>856.65</v>
      </c>
      <c r="L415" s="493"/>
      <c r="M415" s="493">
        <v>856.65</v>
      </c>
      <c r="N415" s="493"/>
      <c r="O415" s="206">
        <v>856.65</v>
      </c>
      <c r="P415" s="493">
        <v>1136.8800000000001</v>
      </c>
      <c r="Q415" s="493"/>
      <c r="R415" s="493">
        <v>0</v>
      </c>
      <c r="S415" s="493"/>
      <c r="T415" s="206">
        <v>0</v>
      </c>
    </row>
    <row r="416" spans="1:20">
      <c r="A416" s="494" t="s">
        <v>606</v>
      </c>
      <c r="B416" s="494"/>
      <c r="C416" s="494"/>
      <c r="D416" s="494"/>
      <c r="E416" s="494"/>
      <c r="F416" s="494"/>
      <c r="G416" s="494"/>
      <c r="H416" s="494"/>
      <c r="I416" s="494"/>
      <c r="J416" s="494"/>
      <c r="K416" s="494"/>
      <c r="L416" s="494"/>
      <c r="M416" s="494"/>
      <c r="N416" s="494"/>
      <c r="O416" s="494"/>
      <c r="P416" s="494"/>
      <c r="Q416" s="494"/>
      <c r="R416" s="494"/>
      <c r="S416" s="494"/>
      <c r="T416" s="494"/>
    </row>
    <row r="417" spans="1:20">
      <c r="A417" s="203"/>
      <c r="B417" s="204">
        <v>3000</v>
      </c>
      <c r="C417" s="492">
        <v>2835.82</v>
      </c>
      <c r="D417" s="492"/>
      <c r="E417" s="492"/>
      <c r="F417" s="492">
        <v>2835.82</v>
      </c>
      <c r="G417" s="492"/>
      <c r="H417" s="492"/>
      <c r="I417" s="492">
        <v>2835.82</v>
      </c>
      <c r="J417" s="492"/>
      <c r="K417" s="492">
        <v>2835.82</v>
      </c>
      <c r="L417" s="492"/>
      <c r="M417" s="492">
        <v>2645.83</v>
      </c>
      <c r="N417" s="492"/>
      <c r="O417" s="204">
        <v>2645.83</v>
      </c>
      <c r="P417" s="492">
        <v>164.18</v>
      </c>
      <c r="Q417" s="492"/>
      <c r="R417" s="492">
        <v>0</v>
      </c>
      <c r="S417" s="492"/>
      <c r="T417" s="204">
        <v>189.99</v>
      </c>
    </row>
    <row r="418" spans="1:20">
      <c r="A418" s="494" t="s">
        <v>628</v>
      </c>
      <c r="B418" s="494"/>
      <c r="C418" s="494"/>
      <c r="D418" s="494"/>
      <c r="E418" s="494"/>
      <c r="F418" s="494"/>
      <c r="G418" s="494"/>
      <c r="H418" s="494"/>
      <c r="I418" s="494"/>
      <c r="J418" s="494"/>
      <c r="K418" s="494"/>
      <c r="L418" s="494"/>
      <c r="M418" s="494"/>
      <c r="N418" s="494"/>
      <c r="O418" s="494"/>
      <c r="P418" s="494"/>
      <c r="Q418" s="494"/>
      <c r="R418" s="494"/>
      <c r="S418" s="494"/>
      <c r="T418" s="494"/>
    </row>
    <row r="419" spans="1:20">
      <c r="A419" s="203"/>
      <c r="B419" s="204">
        <v>69884.490000000005</v>
      </c>
      <c r="C419" s="492">
        <v>69884.479999999996</v>
      </c>
      <c r="D419" s="492"/>
      <c r="E419" s="492"/>
      <c r="F419" s="492">
        <v>69884.479999999996</v>
      </c>
      <c r="G419" s="492"/>
      <c r="H419" s="492"/>
      <c r="I419" s="492">
        <v>69884.479999999996</v>
      </c>
      <c r="J419" s="492"/>
      <c r="K419" s="492">
        <v>69884.479999999996</v>
      </c>
      <c r="L419" s="492"/>
      <c r="M419" s="492">
        <v>69884.479999999996</v>
      </c>
      <c r="N419" s="492"/>
      <c r="O419" s="204">
        <v>69884.479999999996</v>
      </c>
      <c r="P419" s="492">
        <v>0.01</v>
      </c>
      <c r="Q419" s="492"/>
      <c r="R419" s="492">
        <v>0</v>
      </c>
      <c r="S419" s="492"/>
      <c r="T419" s="204">
        <v>0</v>
      </c>
    </row>
    <row r="420" spans="1:20">
      <c r="A420" s="471" t="s">
        <v>551</v>
      </c>
      <c r="B420" s="471"/>
      <c r="C420" s="471"/>
      <c r="D420" s="471"/>
      <c r="E420" s="471"/>
      <c r="F420" s="471"/>
      <c r="G420" s="471"/>
      <c r="H420" s="471"/>
      <c r="I420" s="471"/>
      <c r="J420" s="471"/>
      <c r="K420" s="471"/>
      <c r="L420" s="471"/>
      <c r="M420" s="471"/>
      <c r="N420" s="471"/>
      <c r="O420" s="471"/>
      <c r="P420" s="471"/>
      <c r="Q420" s="471"/>
      <c r="R420" s="471"/>
      <c r="S420" s="471"/>
      <c r="T420" s="471"/>
    </row>
    <row r="421" spans="1:20">
      <c r="A421" s="203"/>
      <c r="B421" s="204">
        <v>69884.490000000005</v>
      </c>
      <c r="C421" s="492">
        <v>69884.479999999996</v>
      </c>
      <c r="D421" s="492"/>
      <c r="E421" s="492"/>
      <c r="F421" s="492">
        <v>69884.479999999996</v>
      </c>
      <c r="G421" s="492"/>
      <c r="H421" s="492"/>
      <c r="I421" s="492">
        <v>69884.479999999996</v>
      </c>
      <c r="J421" s="492"/>
      <c r="K421" s="492">
        <v>69884.479999999996</v>
      </c>
      <c r="L421" s="492"/>
      <c r="M421" s="492">
        <v>69884.479999999996</v>
      </c>
      <c r="N421" s="492"/>
      <c r="O421" s="204">
        <v>69884.479999999996</v>
      </c>
      <c r="P421" s="492">
        <v>0.01</v>
      </c>
      <c r="Q421" s="492"/>
      <c r="R421" s="492">
        <v>0</v>
      </c>
      <c r="S421" s="492"/>
      <c r="T421" s="204">
        <v>0</v>
      </c>
    </row>
    <row r="422" spans="1:20">
      <c r="A422" s="474" t="s">
        <v>621</v>
      </c>
      <c r="B422" s="474"/>
      <c r="C422" s="474"/>
      <c r="D422" s="474"/>
      <c r="E422" s="474"/>
      <c r="F422" s="474"/>
      <c r="G422" s="474"/>
      <c r="H422" s="474"/>
      <c r="I422" s="474"/>
      <c r="J422" s="474"/>
      <c r="K422" s="474"/>
      <c r="L422" s="474"/>
      <c r="M422" s="474"/>
      <c r="N422" s="474"/>
      <c r="O422" s="474"/>
      <c r="P422" s="474"/>
      <c r="Q422" s="474"/>
      <c r="R422" s="474"/>
      <c r="S422" s="474"/>
      <c r="T422" s="474"/>
    </row>
    <row r="423" spans="1:20">
      <c r="A423" s="205"/>
      <c r="B423" s="206">
        <v>69884.490000000005</v>
      </c>
      <c r="C423" s="493">
        <v>69884.479999999996</v>
      </c>
      <c r="D423" s="493"/>
      <c r="E423" s="493"/>
      <c r="F423" s="493">
        <v>69884.479999999996</v>
      </c>
      <c r="G423" s="493"/>
      <c r="H423" s="493"/>
      <c r="I423" s="493">
        <v>69884.479999999996</v>
      </c>
      <c r="J423" s="493"/>
      <c r="K423" s="493">
        <v>69884.479999999996</v>
      </c>
      <c r="L423" s="493"/>
      <c r="M423" s="493">
        <v>69884.479999999996</v>
      </c>
      <c r="N423" s="493"/>
      <c r="O423" s="206">
        <v>69884.479999999996</v>
      </c>
      <c r="P423" s="493">
        <v>0.01</v>
      </c>
      <c r="Q423" s="493"/>
      <c r="R423" s="493">
        <v>0</v>
      </c>
      <c r="S423" s="493"/>
      <c r="T423" s="206">
        <v>0</v>
      </c>
    </row>
    <row r="424" spans="1:20">
      <c r="A424" s="471" t="s">
        <v>625</v>
      </c>
      <c r="B424" s="471"/>
      <c r="C424" s="471"/>
      <c r="D424" s="471"/>
      <c r="E424" s="471"/>
      <c r="F424" s="471"/>
      <c r="G424" s="471"/>
      <c r="H424" s="471"/>
      <c r="I424" s="471"/>
      <c r="J424" s="471"/>
      <c r="K424" s="471"/>
      <c r="L424" s="471"/>
      <c r="M424" s="471"/>
      <c r="N424" s="471"/>
      <c r="O424" s="471"/>
      <c r="P424" s="471"/>
      <c r="Q424" s="471"/>
      <c r="R424" s="471"/>
      <c r="S424" s="471"/>
      <c r="T424" s="471"/>
    </row>
    <row r="425" spans="1:20">
      <c r="A425" s="203"/>
      <c r="B425" s="204">
        <v>69884.490000000005</v>
      </c>
      <c r="C425" s="492">
        <v>69884.479999999996</v>
      </c>
      <c r="D425" s="492"/>
      <c r="E425" s="492"/>
      <c r="F425" s="492">
        <v>69884.479999999996</v>
      </c>
      <c r="G425" s="492"/>
      <c r="H425" s="492"/>
      <c r="I425" s="492">
        <v>69884.479999999996</v>
      </c>
      <c r="J425" s="492"/>
      <c r="K425" s="492">
        <v>69884.479999999996</v>
      </c>
      <c r="L425" s="492"/>
      <c r="M425" s="492">
        <v>69884.479999999996</v>
      </c>
      <c r="N425" s="492"/>
      <c r="O425" s="204">
        <v>69884.479999999996</v>
      </c>
      <c r="P425" s="492">
        <v>0.01</v>
      </c>
      <c r="Q425" s="492"/>
      <c r="R425" s="492">
        <v>0</v>
      </c>
      <c r="S425" s="492"/>
      <c r="T425" s="204">
        <v>0</v>
      </c>
    </row>
    <row r="426" spans="1:20">
      <c r="A426" s="495" t="s">
        <v>626</v>
      </c>
      <c r="B426" s="495"/>
      <c r="C426" s="495"/>
      <c r="D426" s="495"/>
      <c r="E426" s="495"/>
      <c r="F426" s="495"/>
      <c r="G426" s="495"/>
      <c r="H426" s="495"/>
      <c r="I426" s="495"/>
      <c r="J426" s="495"/>
      <c r="K426" s="495"/>
      <c r="L426" s="495"/>
      <c r="M426" s="495"/>
      <c r="N426" s="495"/>
      <c r="O426" s="495"/>
      <c r="P426" s="495"/>
      <c r="Q426" s="495"/>
      <c r="R426" s="495"/>
      <c r="S426" s="495"/>
      <c r="T426" s="495"/>
    </row>
    <row r="427" spans="1:20">
      <c r="A427" s="205"/>
      <c r="B427" s="206">
        <v>69884.490000000005</v>
      </c>
      <c r="C427" s="493">
        <v>69884.479999999996</v>
      </c>
      <c r="D427" s="493"/>
      <c r="E427" s="493"/>
      <c r="F427" s="493">
        <v>69884.479999999996</v>
      </c>
      <c r="G427" s="493"/>
      <c r="H427" s="493"/>
      <c r="I427" s="493">
        <v>69884.479999999996</v>
      </c>
      <c r="J427" s="493"/>
      <c r="K427" s="493">
        <v>69884.479999999996</v>
      </c>
      <c r="L427" s="493"/>
      <c r="M427" s="493">
        <v>69884.479999999996</v>
      </c>
      <c r="N427" s="493"/>
      <c r="O427" s="206">
        <v>69884.479999999996</v>
      </c>
      <c r="P427" s="493">
        <v>0.01</v>
      </c>
      <c r="Q427" s="493"/>
      <c r="R427" s="493">
        <v>0</v>
      </c>
      <c r="S427" s="493"/>
      <c r="T427" s="206">
        <v>0</v>
      </c>
    </row>
    <row r="428" spans="1:20">
      <c r="A428" s="495" t="s">
        <v>629</v>
      </c>
      <c r="B428" s="495"/>
      <c r="C428" s="495"/>
      <c r="D428" s="495"/>
      <c r="E428" s="495"/>
      <c r="F428" s="495"/>
      <c r="G428" s="495"/>
      <c r="H428" s="495"/>
      <c r="I428" s="495"/>
      <c r="J428" s="495"/>
      <c r="K428" s="495"/>
      <c r="L428" s="495"/>
      <c r="M428" s="495"/>
      <c r="N428" s="495"/>
      <c r="O428" s="495"/>
      <c r="P428" s="495"/>
      <c r="Q428" s="495"/>
      <c r="R428" s="495"/>
      <c r="S428" s="495"/>
      <c r="T428" s="495"/>
    </row>
    <row r="429" spans="1:20">
      <c r="A429" s="205"/>
      <c r="B429" s="206">
        <v>10199.719999999999</v>
      </c>
      <c r="C429" s="493">
        <v>10199.719999999999</v>
      </c>
      <c r="D429" s="493"/>
      <c r="E429" s="493"/>
      <c r="F429" s="493">
        <v>10199.719999999999</v>
      </c>
      <c r="G429" s="493"/>
      <c r="H429" s="493"/>
      <c r="I429" s="493">
        <v>10199.719999999999</v>
      </c>
      <c r="J429" s="493"/>
      <c r="K429" s="493">
        <v>10199.719999999999</v>
      </c>
      <c r="L429" s="493"/>
      <c r="M429" s="493">
        <v>10199.719999999999</v>
      </c>
      <c r="N429" s="493"/>
      <c r="O429" s="206">
        <v>10199.719999999999</v>
      </c>
      <c r="P429" s="493">
        <v>0</v>
      </c>
      <c r="Q429" s="493"/>
      <c r="R429" s="493">
        <v>0</v>
      </c>
      <c r="S429" s="493"/>
      <c r="T429" s="206">
        <v>0</v>
      </c>
    </row>
    <row r="430" spans="1:20">
      <c r="A430" s="471" t="s">
        <v>551</v>
      </c>
      <c r="B430" s="471"/>
      <c r="C430" s="471"/>
      <c r="D430" s="471"/>
      <c r="E430" s="471"/>
      <c r="F430" s="471"/>
      <c r="G430" s="471"/>
      <c r="H430" s="471"/>
      <c r="I430" s="471"/>
      <c r="J430" s="471"/>
      <c r="K430" s="471"/>
      <c r="L430" s="471"/>
      <c r="M430" s="471"/>
      <c r="N430" s="471"/>
      <c r="O430" s="471"/>
      <c r="P430" s="471"/>
      <c r="Q430" s="471"/>
      <c r="R430" s="471"/>
      <c r="S430" s="471"/>
      <c r="T430" s="471"/>
    </row>
    <row r="431" spans="1:20">
      <c r="A431" s="203"/>
      <c r="B431" s="204">
        <v>10199.719999999999</v>
      </c>
      <c r="C431" s="492">
        <v>10199.719999999999</v>
      </c>
      <c r="D431" s="492"/>
      <c r="E431" s="492"/>
      <c r="F431" s="492">
        <v>10199.719999999999</v>
      </c>
      <c r="G431" s="492"/>
      <c r="H431" s="492"/>
      <c r="I431" s="492">
        <v>10199.719999999999</v>
      </c>
      <c r="J431" s="492"/>
      <c r="K431" s="492">
        <v>10199.719999999999</v>
      </c>
      <c r="L431" s="492"/>
      <c r="M431" s="492">
        <v>10199.719999999999</v>
      </c>
      <c r="N431" s="492"/>
      <c r="O431" s="204">
        <v>10199.719999999999</v>
      </c>
      <c r="P431" s="492">
        <v>0</v>
      </c>
      <c r="Q431" s="492"/>
      <c r="R431" s="492">
        <v>0</v>
      </c>
      <c r="S431" s="492"/>
      <c r="T431" s="204">
        <v>0</v>
      </c>
    </row>
    <row r="432" spans="1:20">
      <c r="A432" s="474" t="s">
        <v>621</v>
      </c>
      <c r="B432" s="474"/>
      <c r="C432" s="474"/>
      <c r="D432" s="474"/>
      <c r="E432" s="474"/>
      <c r="F432" s="474"/>
      <c r="G432" s="474"/>
      <c r="H432" s="474"/>
      <c r="I432" s="474"/>
      <c r="J432" s="474"/>
      <c r="K432" s="474"/>
      <c r="L432" s="474"/>
      <c r="M432" s="474"/>
      <c r="N432" s="474"/>
      <c r="O432" s="474"/>
      <c r="P432" s="474"/>
      <c r="Q432" s="474"/>
      <c r="R432" s="474"/>
      <c r="S432" s="474"/>
      <c r="T432" s="474"/>
    </row>
    <row r="433" spans="1:21">
      <c r="A433" s="205"/>
      <c r="B433" s="206">
        <v>10199.719999999999</v>
      </c>
      <c r="C433" s="493">
        <v>10199.719999999999</v>
      </c>
      <c r="D433" s="493"/>
      <c r="E433" s="493"/>
      <c r="F433" s="493">
        <v>10199.719999999999</v>
      </c>
      <c r="G433" s="493"/>
      <c r="H433" s="493"/>
      <c r="I433" s="493">
        <v>10199.719999999999</v>
      </c>
      <c r="J433" s="493"/>
      <c r="K433" s="493">
        <v>10199.719999999999</v>
      </c>
      <c r="L433" s="493"/>
      <c r="M433" s="493">
        <v>10199.719999999999</v>
      </c>
      <c r="N433" s="493"/>
      <c r="O433" s="206">
        <v>10199.719999999999</v>
      </c>
      <c r="P433" s="493">
        <v>0</v>
      </c>
      <c r="Q433" s="493"/>
      <c r="R433" s="493">
        <v>0</v>
      </c>
      <c r="S433" s="493"/>
      <c r="T433" s="206">
        <v>0</v>
      </c>
    </row>
    <row r="434" spans="1:21">
      <c r="A434" s="471" t="s">
        <v>625</v>
      </c>
      <c r="B434" s="471"/>
      <c r="C434" s="471"/>
      <c r="D434" s="471"/>
      <c r="E434" s="471"/>
      <c r="F434" s="471"/>
      <c r="G434" s="471"/>
      <c r="H434" s="471"/>
      <c r="I434" s="471"/>
      <c r="J434" s="471"/>
      <c r="K434" s="471"/>
      <c r="L434" s="471"/>
      <c r="M434" s="471"/>
      <c r="N434" s="471"/>
      <c r="O434" s="471"/>
      <c r="P434" s="471"/>
      <c r="Q434" s="471"/>
      <c r="R434" s="471"/>
      <c r="S434" s="471"/>
      <c r="T434" s="471"/>
    </row>
    <row r="435" spans="1:21">
      <c r="A435" s="203"/>
      <c r="B435" s="204">
        <v>10199.719999999999</v>
      </c>
      <c r="C435" s="492">
        <v>10199.719999999999</v>
      </c>
      <c r="D435" s="492"/>
      <c r="E435" s="492"/>
      <c r="F435" s="492">
        <v>10199.719999999999</v>
      </c>
      <c r="G435" s="492"/>
      <c r="H435" s="492"/>
      <c r="I435" s="492">
        <v>10199.719999999999</v>
      </c>
      <c r="J435" s="492"/>
      <c r="K435" s="492">
        <v>10199.719999999999</v>
      </c>
      <c r="L435" s="492"/>
      <c r="M435" s="492">
        <v>10199.719999999999</v>
      </c>
      <c r="N435" s="492"/>
      <c r="O435" s="204">
        <v>10199.719999999999</v>
      </c>
      <c r="P435" s="492">
        <v>0</v>
      </c>
      <c r="Q435" s="492"/>
      <c r="R435" s="492">
        <v>0</v>
      </c>
      <c r="S435" s="492"/>
      <c r="T435" s="204">
        <v>0</v>
      </c>
    </row>
    <row r="436" spans="1:21">
      <c r="A436" s="495" t="s">
        <v>626</v>
      </c>
      <c r="B436" s="495"/>
      <c r="C436" s="495"/>
      <c r="D436" s="495"/>
      <c r="E436" s="495"/>
      <c r="F436" s="495"/>
      <c r="G436" s="495"/>
      <c r="H436" s="495"/>
      <c r="I436" s="495"/>
      <c r="J436" s="495"/>
      <c r="K436" s="495"/>
      <c r="L436" s="495"/>
      <c r="M436" s="495"/>
      <c r="N436" s="495"/>
      <c r="O436" s="495"/>
      <c r="P436" s="495"/>
      <c r="Q436" s="495"/>
      <c r="R436" s="495"/>
      <c r="S436" s="495"/>
      <c r="T436" s="495"/>
    </row>
    <row r="437" spans="1:21">
      <c r="A437" s="205"/>
      <c r="B437" s="206">
        <v>10199.719999999999</v>
      </c>
      <c r="C437" s="493">
        <v>10199.719999999999</v>
      </c>
      <c r="D437" s="493"/>
      <c r="E437" s="493"/>
      <c r="F437" s="493">
        <v>10199.719999999999</v>
      </c>
      <c r="G437" s="493"/>
      <c r="H437" s="493"/>
      <c r="I437" s="493">
        <v>10199.719999999999</v>
      </c>
      <c r="J437" s="493"/>
      <c r="K437" s="493">
        <v>10199.719999999999</v>
      </c>
      <c r="L437" s="493"/>
      <c r="M437" s="493">
        <v>10199.719999999999</v>
      </c>
      <c r="N437" s="493"/>
      <c r="O437" s="206">
        <v>10199.719999999999</v>
      </c>
      <c r="P437" s="493">
        <v>0</v>
      </c>
      <c r="Q437" s="493"/>
      <c r="R437" s="493">
        <v>0</v>
      </c>
      <c r="S437" s="493"/>
      <c r="T437" s="206">
        <v>0</v>
      </c>
    </row>
    <row r="438" spans="1:21">
      <c r="A438" s="471" t="s">
        <v>638</v>
      </c>
      <c r="B438" s="471"/>
      <c r="C438" s="471"/>
      <c r="D438" s="471"/>
      <c r="E438" s="471"/>
      <c r="F438" s="471"/>
      <c r="G438" s="471"/>
      <c r="H438" s="471"/>
      <c r="I438" s="471"/>
      <c r="J438" s="471"/>
      <c r="K438" s="471"/>
      <c r="L438" s="471"/>
      <c r="M438" s="471"/>
      <c r="N438" s="471"/>
      <c r="O438" s="471"/>
      <c r="P438" s="471"/>
      <c r="Q438" s="471"/>
      <c r="R438" s="471"/>
      <c r="S438" s="471"/>
      <c r="T438" s="471"/>
    </row>
    <row r="439" spans="1:21">
      <c r="A439" s="203"/>
      <c r="B439" s="204">
        <v>1331175.25</v>
      </c>
      <c r="C439" s="492">
        <v>1165787.2</v>
      </c>
      <c r="D439" s="492"/>
      <c r="E439" s="492"/>
      <c r="F439" s="492">
        <v>1165787.2</v>
      </c>
      <c r="G439" s="492"/>
      <c r="H439" s="492"/>
      <c r="I439" s="492">
        <v>1165787.2</v>
      </c>
      <c r="J439" s="492"/>
      <c r="K439" s="492">
        <v>1165787.2</v>
      </c>
      <c r="L439" s="492"/>
      <c r="M439" s="492">
        <v>1133856.73</v>
      </c>
      <c r="N439" s="492"/>
      <c r="O439" s="204">
        <v>1133856.73</v>
      </c>
      <c r="P439" s="492">
        <v>165388.04999999999</v>
      </c>
      <c r="Q439" s="492"/>
      <c r="R439" s="492">
        <v>0</v>
      </c>
      <c r="S439" s="492"/>
      <c r="T439" s="204">
        <v>31930.47</v>
      </c>
    </row>
    <row r="441" spans="1:21">
      <c r="S441" s="463" t="s">
        <v>504</v>
      </c>
      <c r="T441" s="463"/>
      <c r="U441" s="463"/>
    </row>
    <row r="443" spans="1:21">
      <c r="S443" s="463" t="s">
        <v>504</v>
      </c>
      <c r="T443" s="463"/>
      <c r="U443" s="463"/>
    </row>
  </sheetData>
  <autoFilter ref="A20:T439" xr:uid="{00000000-0001-0000-0900-000000000000}">
    <filterColumn colId="0" showButton="0"/>
    <filterColumn colId="1" showButton="0"/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</autoFilter>
  <mergeCells count="1710">
    <mergeCell ref="S441:U441"/>
    <mergeCell ref="S443:U443"/>
    <mergeCell ref="A438:T438"/>
    <mergeCell ref="C439:E439"/>
    <mergeCell ref="F439:H439"/>
    <mergeCell ref="I439:J439"/>
    <mergeCell ref="K439:L439"/>
    <mergeCell ref="M439:N439"/>
    <mergeCell ref="P439:Q439"/>
    <mergeCell ref="R439:S439"/>
    <mergeCell ref="C433:E433"/>
    <mergeCell ref="F433:H433"/>
    <mergeCell ref="I433:J433"/>
    <mergeCell ref="K433:L433"/>
    <mergeCell ref="M433:N433"/>
    <mergeCell ref="P433:Q433"/>
    <mergeCell ref="R433:S433"/>
    <mergeCell ref="A434:T434"/>
    <mergeCell ref="C435:E435"/>
    <mergeCell ref="F435:H435"/>
    <mergeCell ref="I435:J435"/>
    <mergeCell ref="K435:L435"/>
    <mergeCell ref="M435:N435"/>
    <mergeCell ref="P435:Q435"/>
    <mergeCell ref="R435:S435"/>
    <mergeCell ref="A436:T436"/>
    <mergeCell ref="C437:E437"/>
    <mergeCell ref="F437:H437"/>
    <mergeCell ref="I437:J437"/>
    <mergeCell ref="K437:L437"/>
    <mergeCell ref="M437:N437"/>
    <mergeCell ref="P437:Q437"/>
    <mergeCell ref="R437:S437"/>
    <mergeCell ref="A428:T428"/>
    <mergeCell ref="C429:E429"/>
    <mergeCell ref="F429:H429"/>
    <mergeCell ref="I429:J429"/>
    <mergeCell ref="K429:L429"/>
    <mergeCell ref="M429:N429"/>
    <mergeCell ref="P429:Q429"/>
    <mergeCell ref="R429:S429"/>
    <mergeCell ref="A430:T430"/>
    <mergeCell ref="C431:E431"/>
    <mergeCell ref="F431:H431"/>
    <mergeCell ref="I431:J431"/>
    <mergeCell ref="K431:L431"/>
    <mergeCell ref="M431:N431"/>
    <mergeCell ref="P431:Q431"/>
    <mergeCell ref="R431:S431"/>
    <mergeCell ref="A432:T432"/>
    <mergeCell ref="C423:E423"/>
    <mergeCell ref="F423:H423"/>
    <mergeCell ref="I423:J423"/>
    <mergeCell ref="K423:L423"/>
    <mergeCell ref="M423:N423"/>
    <mergeCell ref="P423:Q423"/>
    <mergeCell ref="R423:S423"/>
    <mergeCell ref="A424:T424"/>
    <mergeCell ref="C425:E425"/>
    <mergeCell ref="F425:H425"/>
    <mergeCell ref="I425:J425"/>
    <mergeCell ref="K425:L425"/>
    <mergeCell ref="M425:N425"/>
    <mergeCell ref="P425:Q425"/>
    <mergeCell ref="R425:S425"/>
    <mergeCell ref="A426:T426"/>
    <mergeCell ref="C427:E427"/>
    <mergeCell ref="F427:H427"/>
    <mergeCell ref="I427:J427"/>
    <mergeCell ref="K427:L427"/>
    <mergeCell ref="M427:N427"/>
    <mergeCell ref="P427:Q427"/>
    <mergeCell ref="R427:S427"/>
    <mergeCell ref="A418:T418"/>
    <mergeCell ref="C419:E419"/>
    <mergeCell ref="F419:H419"/>
    <mergeCell ref="I419:J419"/>
    <mergeCell ref="K419:L419"/>
    <mergeCell ref="M419:N419"/>
    <mergeCell ref="P419:Q419"/>
    <mergeCell ref="R419:S419"/>
    <mergeCell ref="A420:T420"/>
    <mergeCell ref="C421:E421"/>
    <mergeCell ref="F421:H421"/>
    <mergeCell ref="I421:J421"/>
    <mergeCell ref="K421:L421"/>
    <mergeCell ref="M421:N421"/>
    <mergeCell ref="P421:Q421"/>
    <mergeCell ref="R421:S421"/>
    <mergeCell ref="A422:T422"/>
    <mergeCell ref="C413:E413"/>
    <mergeCell ref="F413:H413"/>
    <mergeCell ref="I413:J413"/>
    <mergeCell ref="K413:L413"/>
    <mergeCell ref="M413:N413"/>
    <mergeCell ref="P413:Q413"/>
    <mergeCell ref="R413:S413"/>
    <mergeCell ref="A414:T414"/>
    <mergeCell ref="C415:E415"/>
    <mergeCell ref="F415:H415"/>
    <mergeCell ref="I415:J415"/>
    <mergeCell ref="K415:L415"/>
    <mergeCell ref="M415:N415"/>
    <mergeCell ref="P415:Q415"/>
    <mergeCell ref="R415:S415"/>
    <mergeCell ref="A416:T416"/>
    <mergeCell ref="C417:E417"/>
    <mergeCell ref="F417:H417"/>
    <mergeCell ref="I417:J417"/>
    <mergeCell ref="K417:L417"/>
    <mergeCell ref="M417:N417"/>
    <mergeCell ref="P417:Q417"/>
    <mergeCell ref="R417:S417"/>
    <mergeCell ref="A408:T408"/>
    <mergeCell ref="C409:E409"/>
    <mergeCell ref="F409:H409"/>
    <mergeCell ref="I409:J409"/>
    <mergeCell ref="K409:L409"/>
    <mergeCell ref="M409:N409"/>
    <mergeCell ref="P409:Q409"/>
    <mergeCell ref="R409:S409"/>
    <mergeCell ref="A410:T410"/>
    <mergeCell ref="C411:E411"/>
    <mergeCell ref="F411:H411"/>
    <mergeCell ref="I411:J411"/>
    <mergeCell ref="K411:L411"/>
    <mergeCell ref="M411:N411"/>
    <mergeCell ref="P411:Q411"/>
    <mergeCell ref="R411:S411"/>
    <mergeCell ref="A412:T412"/>
    <mergeCell ref="C403:E403"/>
    <mergeCell ref="F403:H403"/>
    <mergeCell ref="I403:J403"/>
    <mergeCell ref="K403:L403"/>
    <mergeCell ref="M403:N403"/>
    <mergeCell ref="P403:Q403"/>
    <mergeCell ref="R403:S403"/>
    <mergeCell ref="A404:T404"/>
    <mergeCell ref="C405:E405"/>
    <mergeCell ref="F405:H405"/>
    <mergeCell ref="I405:J405"/>
    <mergeCell ref="K405:L405"/>
    <mergeCell ref="M405:N405"/>
    <mergeCell ref="P405:Q405"/>
    <mergeCell ref="R405:S405"/>
    <mergeCell ref="A406:T406"/>
    <mergeCell ref="C407:E407"/>
    <mergeCell ref="F407:H407"/>
    <mergeCell ref="I407:J407"/>
    <mergeCell ref="K407:L407"/>
    <mergeCell ref="M407:N407"/>
    <mergeCell ref="P407:Q407"/>
    <mergeCell ref="R407:S407"/>
    <mergeCell ref="A398:T398"/>
    <mergeCell ref="C399:E399"/>
    <mergeCell ref="F399:H399"/>
    <mergeCell ref="I399:J399"/>
    <mergeCell ref="K399:L399"/>
    <mergeCell ref="M399:N399"/>
    <mergeCell ref="P399:Q399"/>
    <mergeCell ref="R399:S399"/>
    <mergeCell ref="A400:T400"/>
    <mergeCell ref="C401:E401"/>
    <mergeCell ref="F401:H401"/>
    <mergeCell ref="I401:J401"/>
    <mergeCell ref="K401:L401"/>
    <mergeCell ref="M401:N401"/>
    <mergeCell ref="P401:Q401"/>
    <mergeCell ref="R401:S401"/>
    <mergeCell ref="A402:T402"/>
    <mergeCell ref="C393:E393"/>
    <mergeCell ref="F393:H393"/>
    <mergeCell ref="I393:J393"/>
    <mergeCell ref="K393:L393"/>
    <mergeCell ref="M393:N393"/>
    <mergeCell ref="P393:Q393"/>
    <mergeCell ref="R393:S393"/>
    <mergeCell ref="A394:T394"/>
    <mergeCell ref="C395:E395"/>
    <mergeCell ref="F395:H395"/>
    <mergeCell ref="I395:J395"/>
    <mergeCell ref="K395:L395"/>
    <mergeCell ref="M395:N395"/>
    <mergeCell ref="P395:Q395"/>
    <mergeCell ref="R395:S395"/>
    <mergeCell ref="A396:T396"/>
    <mergeCell ref="C397:E397"/>
    <mergeCell ref="F397:H397"/>
    <mergeCell ref="I397:J397"/>
    <mergeCell ref="K397:L397"/>
    <mergeCell ref="M397:N397"/>
    <mergeCell ref="P397:Q397"/>
    <mergeCell ref="R397:S397"/>
    <mergeCell ref="A388:T388"/>
    <mergeCell ref="C389:E389"/>
    <mergeCell ref="F389:H389"/>
    <mergeCell ref="I389:J389"/>
    <mergeCell ref="K389:L389"/>
    <mergeCell ref="M389:N389"/>
    <mergeCell ref="P389:Q389"/>
    <mergeCell ref="R389:S389"/>
    <mergeCell ref="A390:T390"/>
    <mergeCell ref="C391:E391"/>
    <mergeCell ref="F391:H391"/>
    <mergeCell ref="I391:J391"/>
    <mergeCell ref="K391:L391"/>
    <mergeCell ref="M391:N391"/>
    <mergeCell ref="P391:Q391"/>
    <mergeCell ref="R391:S391"/>
    <mergeCell ref="A392:T392"/>
    <mergeCell ref="C383:E383"/>
    <mergeCell ref="F383:H383"/>
    <mergeCell ref="I383:J383"/>
    <mergeCell ref="K383:L383"/>
    <mergeCell ref="M383:N383"/>
    <mergeCell ref="P383:Q383"/>
    <mergeCell ref="R383:S383"/>
    <mergeCell ref="A384:T384"/>
    <mergeCell ref="C385:E385"/>
    <mergeCell ref="F385:H385"/>
    <mergeCell ref="I385:J385"/>
    <mergeCell ref="K385:L385"/>
    <mergeCell ref="M385:N385"/>
    <mergeCell ref="P385:Q385"/>
    <mergeCell ref="R385:S385"/>
    <mergeCell ref="A386:T386"/>
    <mergeCell ref="C387:E387"/>
    <mergeCell ref="F387:H387"/>
    <mergeCell ref="I387:J387"/>
    <mergeCell ref="K387:L387"/>
    <mergeCell ref="M387:N387"/>
    <mergeCell ref="P387:Q387"/>
    <mergeCell ref="R387:S387"/>
    <mergeCell ref="A378:T378"/>
    <mergeCell ref="C379:E379"/>
    <mergeCell ref="F379:H379"/>
    <mergeCell ref="I379:J379"/>
    <mergeCell ref="K379:L379"/>
    <mergeCell ref="M379:N379"/>
    <mergeCell ref="P379:Q379"/>
    <mergeCell ref="R379:S379"/>
    <mergeCell ref="A380:T380"/>
    <mergeCell ref="C381:E381"/>
    <mergeCell ref="F381:H381"/>
    <mergeCell ref="I381:J381"/>
    <mergeCell ref="K381:L381"/>
    <mergeCell ref="M381:N381"/>
    <mergeCell ref="P381:Q381"/>
    <mergeCell ref="R381:S381"/>
    <mergeCell ref="A382:T382"/>
    <mergeCell ref="C373:E373"/>
    <mergeCell ref="F373:H373"/>
    <mergeCell ref="I373:J373"/>
    <mergeCell ref="K373:L373"/>
    <mergeCell ref="M373:N373"/>
    <mergeCell ref="P373:Q373"/>
    <mergeCell ref="R373:S373"/>
    <mergeCell ref="A374:T374"/>
    <mergeCell ref="C375:E375"/>
    <mergeCell ref="F375:H375"/>
    <mergeCell ref="I375:J375"/>
    <mergeCell ref="K375:L375"/>
    <mergeCell ref="M375:N375"/>
    <mergeCell ref="P375:Q375"/>
    <mergeCell ref="R375:S375"/>
    <mergeCell ref="A376:T376"/>
    <mergeCell ref="C377:E377"/>
    <mergeCell ref="F377:H377"/>
    <mergeCell ref="I377:J377"/>
    <mergeCell ref="K377:L377"/>
    <mergeCell ref="M377:N377"/>
    <mergeCell ref="P377:Q377"/>
    <mergeCell ref="R377:S377"/>
    <mergeCell ref="A368:T368"/>
    <mergeCell ref="C369:E369"/>
    <mergeCell ref="F369:H369"/>
    <mergeCell ref="I369:J369"/>
    <mergeCell ref="K369:L369"/>
    <mergeCell ref="M369:N369"/>
    <mergeCell ref="P369:Q369"/>
    <mergeCell ref="R369:S369"/>
    <mergeCell ref="A370:T370"/>
    <mergeCell ref="C371:E371"/>
    <mergeCell ref="F371:H371"/>
    <mergeCell ref="I371:J371"/>
    <mergeCell ref="K371:L371"/>
    <mergeCell ref="M371:N371"/>
    <mergeCell ref="P371:Q371"/>
    <mergeCell ref="R371:S371"/>
    <mergeCell ref="A372:T372"/>
    <mergeCell ref="C363:E363"/>
    <mergeCell ref="F363:H363"/>
    <mergeCell ref="I363:J363"/>
    <mergeCell ref="K363:L363"/>
    <mergeCell ref="M363:N363"/>
    <mergeCell ref="P363:Q363"/>
    <mergeCell ref="R363:S363"/>
    <mergeCell ref="A364:T364"/>
    <mergeCell ref="C365:E365"/>
    <mergeCell ref="F365:H365"/>
    <mergeCell ref="I365:J365"/>
    <mergeCell ref="K365:L365"/>
    <mergeCell ref="M365:N365"/>
    <mergeCell ref="P365:Q365"/>
    <mergeCell ref="R365:S365"/>
    <mergeCell ref="A366:T366"/>
    <mergeCell ref="C367:E367"/>
    <mergeCell ref="F367:H367"/>
    <mergeCell ref="I367:J367"/>
    <mergeCell ref="K367:L367"/>
    <mergeCell ref="M367:N367"/>
    <mergeCell ref="P367:Q367"/>
    <mergeCell ref="R367:S367"/>
    <mergeCell ref="A358:T358"/>
    <mergeCell ref="C359:E359"/>
    <mergeCell ref="F359:H359"/>
    <mergeCell ref="I359:J359"/>
    <mergeCell ref="K359:L359"/>
    <mergeCell ref="M359:N359"/>
    <mergeCell ref="P359:Q359"/>
    <mergeCell ref="R359:S359"/>
    <mergeCell ref="A360:T360"/>
    <mergeCell ref="C361:E361"/>
    <mergeCell ref="F361:H361"/>
    <mergeCell ref="I361:J361"/>
    <mergeCell ref="K361:L361"/>
    <mergeCell ref="M361:N361"/>
    <mergeCell ref="P361:Q361"/>
    <mergeCell ref="R361:S361"/>
    <mergeCell ref="A362:T362"/>
    <mergeCell ref="C353:E353"/>
    <mergeCell ref="F353:H353"/>
    <mergeCell ref="I353:J353"/>
    <mergeCell ref="K353:L353"/>
    <mergeCell ref="M353:N353"/>
    <mergeCell ref="P353:Q353"/>
    <mergeCell ref="R353:S353"/>
    <mergeCell ref="A354:T354"/>
    <mergeCell ref="C355:E355"/>
    <mergeCell ref="F355:H355"/>
    <mergeCell ref="I355:J355"/>
    <mergeCell ref="K355:L355"/>
    <mergeCell ref="M355:N355"/>
    <mergeCell ref="P355:Q355"/>
    <mergeCell ref="R355:S355"/>
    <mergeCell ref="A356:T356"/>
    <mergeCell ref="C357:E357"/>
    <mergeCell ref="F357:H357"/>
    <mergeCell ref="I357:J357"/>
    <mergeCell ref="K357:L357"/>
    <mergeCell ref="M357:N357"/>
    <mergeCell ref="P357:Q357"/>
    <mergeCell ref="R357:S357"/>
    <mergeCell ref="A348:T348"/>
    <mergeCell ref="C349:E349"/>
    <mergeCell ref="F349:H349"/>
    <mergeCell ref="I349:J349"/>
    <mergeCell ref="K349:L349"/>
    <mergeCell ref="M349:N349"/>
    <mergeCell ref="P349:Q349"/>
    <mergeCell ref="R349:S349"/>
    <mergeCell ref="A350:T350"/>
    <mergeCell ref="C351:E351"/>
    <mergeCell ref="F351:H351"/>
    <mergeCell ref="I351:J351"/>
    <mergeCell ref="K351:L351"/>
    <mergeCell ref="M351:N351"/>
    <mergeCell ref="P351:Q351"/>
    <mergeCell ref="R351:S351"/>
    <mergeCell ref="A352:T352"/>
    <mergeCell ref="C343:E343"/>
    <mergeCell ref="F343:H343"/>
    <mergeCell ref="I343:J343"/>
    <mergeCell ref="K343:L343"/>
    <mergeCell ref="M343:N343"/>
    <mergeCell ref="P343:Q343"/>
    <mergeCell ref="R343:S343"/>
    <mergeCell ref="A344:T344"/>
    <mergeCell ref="C345:E345"/>
    <mergeCell ref="F345:H345"/>
    <mergeCell ref="I345:J345"/>
    <mergeCell ref="K345:L345"/>
    <mergeCell ref="M345:N345"/>
    <mergeCell ref="P345:Q345"/>
    <mergeCell ref="R345:S345"/>
    <mergeCell ref="A346:T346"/>
    <mergeCell ref="C347:E347"/>
    <mergeCell ref="F347:H347"/>
    <mergeCell ref="I347:J347"/>
    <mergeCell ref="K347:L347"/>
    <mergeCell ref="M347:N347"/>
    <mergeCell ref="P347:Q347"/>
    <mergeCell ref="R347:S347"/>
    <mergeCell ref="A338:T338"/>
    <mergeCell ref="C339:E339"/>
    <mergeCell ref="F339:H339"/>
    <mergeCell ref="I339:J339"/>
    <mergeCell ref="K339:L339"/>
    <mergeCell ref="M339:N339"/>
    <mergeCell ref="P339:Q339"/>
    <mergeCell ref="R339:S339"/>
    <mergeCell ref="A340:T340"/>
    <mergeCell ref="C341:E341"/>
    <mergeCell ref="F341:H341"/>
    <mergeCell ref="I341:J341"/>
    <mergeCell ref="K341:L341"/>
    <mergeCell ref="M341:N341"/>
    <mergeCell ref="P341:Q341"/>
    <mergeCell ref="R341:S341"/>
    <mergeCell ref="A342:T342"/>
    <mergeCell ref="C333:E333"/>
    <mergeCell ref="F333:H333"/>
    <mergeCell ref="I333:J333"/>
    <mergeCell ref="K333:L333"/>
    <mergeCell ref="M333:N333"/>
    <mergeCell ref="P333:Q333"/>
    <mergeCell ref="R333:S333"/>
    <mergeCell ref="A334:T334"/>
    <mergeCell ref="C335:E335"/>
    <mergeCell ref="F335:H335"/>
    <mergeCell ref="I335:J335"/>
    <mergeCell ref="K335:L335"/>
    <mergeCell ref="M335:N335"/>
    <mergeCell ref="P335:Q335"/>
    <mergeCell ref="R335:S335"/>
    <mergeCell ref="A336:T336"/>
    <mergeCell ref="C337:E337"/>
    <mergeCell ref="F337:H337"/>
    <mergeCell ref="I337:J337"/>
    <mergeCell ref="K337:L337"/>
    <mergeCell ref="M337:N337"/>
    <mergeCell ref="P337:Q337"/>
    <mergeCell ref="R337:S337"/>
    <mergeCell ref="A328:T328"/>
    <mergeCell ref="C329:E329"/>
    <mergeCell ref="F329:H329"/>
    <mergeCell ref="I329:J329"/>
    <mergeCell ref="K329:L329"/>
    <mergeCell ref="M329:N329"/>
    <mergeCell ref="P329:Q329"/>
    <mergeCell ref="R329:S329"/>
    <mergeCell ref="A330:T330"/>
    <mergeCell ref="C331:E331"/>
    <mergeCell ref="F331:H331"/>
    <mergeCell ref="I331:J331"/>
    <mergeCell ref="K331:L331"/>
    <mergeCell ref="M331:N331"/>
    <mergeCell ref="P331:Q331"/>
    <mergeCell ref="R331:S331"/>
    <mergeCell ref="A332:T332"/>
    <mergeCell ref="C323:E323"/>
    <mergeCell ref="F323:H323"/>
    <mergeCell ref="I323:J323"/>
    <mergeCell ref="K323:L323"/>
    <mergeCell ref="M323:N323"/>
    <mergeCell ref="P323:Q323"/>
    <mergeCell ref="R323:S323"/>
    <mergeCell ref="A324:T324"/>
    <mergeCell ref="C325:E325"/>
    <mergeCell ref="F325:H325"/>
    <mergeCell ref="I325:J325"/>
    <mergeCell ref="K325:L325"/>
    <mergeCell ref="M325:N325"/>
    <mergeCell ref="P325:Q325"/>
    <mergeCell ref="R325:S325"/>
    <mergeCell ref="A326:T326"/>
    <mergeCell ref="C327:E327"/>
    <mergeCell ref="F327:H327"/>
    <mergeCell ref="I327:J327"/>
    <mergeCell ref="K327:L327"/>
    <mergeCell ref="M327:N327"/>
    <mergeCell ref="P327:Q327"/>
    <mergeCell ref="R327:S327"/>
    <mergeCell ref="A318:T318"/>
    <mergeCell ref="C319:E319"/>
    <mergeCell ref="F319:H319"/>
    <mergeCell ref="I319:J319"/>
    <mergeCell ref="K319:L319"/>
    <mergeCell ref="M319:N319"/>
    <mergeCell ref="P319:Q319"/>
    <mergeCell ref="R319:S319"/>
    <mergeCell ref="A320:T320"/>
    <mergeCell ref="C321:E321"/>
    <mergeCell ref="F321:H321"/>
    <mergeCell ref="I321:J321"/>
    <mergeCell ref="K321:L321"/>
    <mergeCell ref="M321:N321"/>
    <mergeCell ref="P321:Q321"/>
    <mergeCell ref="R321:S321"/>
    <mergeCell ref="A322:T322"/>
    <mergeCell ref="C313:E313"/>
    <mergeCell ref="F313:H313"/>
    <mergeCell ref="I313:J313"/>
    <mergeCell ref="K313:L313"/>
    <mergeCell ref="M313:N313"/>
    <mergeCell ref="P313:Q313"/>
    <mergeCell ref="R313:S313"/>
    <mergeCell ref="A314:T314"/>
    <mergeCell ref="C315:E315"/>
    <mergeCell ref="F315:H315"/>
    <mergeCell ref="I315:J315"/>
    <mergeCell ref="K315:L315"/>
    <mergeCell ref="M315:N315"/>
    <mergeCell ref="P315:Q315"/>
    <mergeCell ref="R315:S315"/>
    <mergeCell ref="A316:T316"/>
    <mergeCell ref="C317:E317"/>
    <mergeCell ref="F317:H317"/>
    <mergeCell ref="I317:J317"/>
    <mergeCell ref="K317:L317"/>
    <mergeCell ref="M317:N317"/>
    <mergeCell ref="P317:Q317"/>
    <mergeCell ref="R317:S317"/>
    <mergeCell ref="A308:T308"/>
    <mergeCell ref="C309:E309"/>
    <mergeCell ref="F309:H309"/>
    <mergeCell ref="I309:J309"/>
    <mergeCell ref="K309:L309"/>
    <mergeCell ref="M309:N309"/>
    <mergeCell ref="P309:Q309"/>
    <mergeCell ref="R309:S309"/>
    <mergeCell ref="A310:T310"/>
    <mergeCell ref="C311:E311"/>
    <mergeCell ref="F311:H311"/>
    <mergeCell ref="I311:J311"/>
    <mergeCell ref="K311:L311"/>
    <mergeCell ref="M311:N311"/>
    <mergeCell ref="P311:Q311"/>
    <mergeCell ref="R311:S311"/>
    <mergeCell ref="A312:T312"/>
    <mergeCell ref="C303:E303"/>
    <mergeCell ref="F303:H303"/>
    <mergeCell ref="I303:J303"/>
    <mergeCell ref="K303:L303"/>
    <mergeCell ref="M303:N303"/>
    <mergeCell ref="P303:Q303"/>
    <mergeCell ref="R303:S303"/>
    <mergeCell ref="A304:T304"/>
    <mergeCell ref="C305:E305"/>
    <mergeCell ref="F305:H305"/>
    <mergeCell ref="I305:J305"/>
    <mergeCell ref="K305:L305"/>
    <mergeCell ref="M305:N305"/>
    <mergeCell ref="P305:Q305"/>
    <mergeCell ref="R305:S305"/>
    <mergeCell ref="A306:T306"/>
    <mergeCell ref="C307:E307"/>
    <mergeCell ref="F307:H307"/>
    <mergeCell ref="I307:J307"/>
    <mergeCell ref="K307:L307"/>
    <mergeCell ref="M307:N307"/>
    <mergeCell ref="P307:Q307"/>
    <mergeCell ref="R307:S307"/>
    <mergeCell ref="A298:T298"/>
    <mergeCell ref="C299:E299"/>
    <mergeCell ref="F299:H299"/>
    <mergeCell ref="I299:J299"/>
    <mergeCell ref="K299:L299"/>
    <mergeCell ref="M299:N299"/>
    <mergeCell ref="P299:Q299"/>
    <mergeCell ref="R299:S299"/>
    <mergeCell ref="A300:T300"/>
    <mergeCell ref="C301:E301"/>
    <mergeCell ref="F301:H301"/>
    <mergeCell ref="I301:J301"/>
    <mergeCell ref="K301:L301"/>
    <mergeCell ref="M301:N301"/>
    <mergeCell ref="P301:Q301"/>
    <mergeCell ref="R301:S301"/>
    <mergeCell ref="A302:T302"/>
    <mergeCell ref="C293:E293"/>
    <mergeCell ref="F293:H293"/>
    <mergeCell ref="I293:J293"/>
    <mergeCell ref="K293:L293"/>
    <mergeCell ref="M293:N293"/>
    <mergeCell ref="P293:Q293"/>
    <mergeCell ref="R293:S293"/>
    <mergeCell ref="A294:T294"/>
    <mergeCell ref="C295:E295"/>
    <mergeCell ref="F295:H295"/>
    <mergeCell ref="I295:J295"/>
    <mergeCell ref="K295:L295"/>
    <mergeCell ref="M295:N295"/>
    <mergeCell ref="P295:Q295"/>
    <mergeCell ref="R295:S295"/>
    <mergeCell ref="A296:T296"/>
    <mergeCell ref="C297:E297"/>
    <mergeCell ref="F297:H297"/>
    <mergeCell ref="I297:J297"/>
    <mergeCell ref="K297:L297"/>
    <mergeCell ref="M297:N297"/>
    <mergeCell ref="P297:Q297"/>
    <mergeCell ref="R297:S297"/>
    <mergeCell ref="A288:T288"/>
    <mergeCell ref="C289:E289"/>
    <mergeCell ref="F289:H289"/>
    <mergeCell ref="I289:J289"/>
    <mergeCell ref="K289:L289"/>
    <mergeCell ref="M289:N289"/>
    <mergeCell ref="P289:Q289"/>
    <mergeCell ref="R289:S289"/>
    <mergeCell ref="A290:T290"/>
    <mergeCell ref="C291:E291"/>
    <mergeCell ref="F291:H291"/>
    <mergeCell ref="I291:J291"/>
    <mergeCell ref="K291:L291"/>
    <mergeCell ref="M291:N291"/>
    <mergeCell ref="P291:Q291"/>
    <mergeCell ref="R291:S291"/>
    <mergeCell ref="A292:T292"/>
    <mergeCell ref="C283:E283"/>
    <mergeCell ref="F283:H283"/>
    <mergeCell ref="I283:J283"/>
    <mergeCell ref="K283:L283"/>
    <mergeCell ref="M283:N283"/>
    <mergeCell ref="P283:Q283"/>
    <mergeCell ref="R283:S283"/>
    <mergeCell ref="A284:T284"/>
    <mergeCell ref="C285:E285"/>
    <mergeCell ref="F285:H285"/>
    <mergeCell ref="I285:J285"/>
    <mergeCell ref="K285:L285"/>
    <mergeCell ref="M285:N285"/>
    <mergeCell ref="P285:Q285"/>
    <mergeCell ref="R285:S285"/>
    <mergeCell ref="A286:T286"/>
    <mergeCell ref="C287:E287"/>
    <mergeCell ref="F287:H287"/>
    <mergeCell ref="I287:J287"/>
    <mergeCell ref="K287:L287"/>
    <mergeCell ref="M287:N287"/>
    <mergeCell ref="P287:Q287"/>
    <mergeCell ref="R287:S287"/>
    <mergeCell ref="A278:T278"/>
    <mergeCell ref="C279:E279"/>
    <mergeCell ref="F279:H279"/>
    <mergeCell ref="I279:J279"/>
    <mergeCell ref="K279:L279"/>
    <mergeCell ref="M279:N279"/>
    <mergeCell ref="P279:Q279"/>
    <mergeCell ref="R279:S279"/>
    <mergeCell ref="A280:T280"/>
    <mergeCell ref="C281:E281"/>
    <mergeCell ref="F281:H281"/>
    <mergeCell ref="I281:J281"/>
    <mergeCell ref="K281:L281"/>
    <mergeCell ref="M281:N281"/>
    <mergeCell ref="P281:Q281"/>
    <mergeCell ref="R281:S281"/>
    <mergeCell ref="A282:T282"/>
    <mergeCell ref="C273:E273"/>
    <mergeCell ref="F273:H273"/>
    <mergeCell ref="I273:J273"/>
    <mergeCell ref="K273:L273"/>
    <mergeCell ref="M273:N273"/>
    <mergeCell ref="P273:Q273"/>
    <mergeCell ref="R273:S273"/>
    <mergeCell ref="A274:T274"/>
    <mergeCell ref="C275:E275"/>
    <mergeCell ref="F275:H275"/>
    <mergeCell ref="I275:J275"/>
    <mergeCell ref="K275:L275"/>
    <mergeCell ref="M275:N275"/>
    <mergeCell ref="P275:Q275"/>
    <mergeCell ref="R275:S275"/>
    <mergeCell ref="A276:T276"/>
    <mergeCell ref="C277:E277"/>
    <mergeCell ref="F277:H277"/>
    <mergeCell ref="I277:J277"/>
    <mergeCell ref="K277:L277"/>
    <mergeCell ref="M277:N277"/>
    <mergeCell ref="P277:Q277"/>
    <mergeCell ref="R277:S277"/>
    <mergeCell ref="A268:T268"/>
    <mergeCell ref="C269:E269"/>
    <mergeCell ref="F269:H269"/>
    <mergeCell ref="I269:J269"/>
    <mergeCell ref="K269:L269"/>
    <mergeCell ref="M269:N269"/>
    <mergeCell ref="P269:Q269"/>
    <mergeCell ref="R269:S269"/>
    <mergeCell ref="A270:T270"/>
    <mergeCell ref="C271:E271"/>
    <mergeCell ref="F271:H271"/>
    <mergeCell ref="I271:J271"/>
    <mergeCell ref="K271:L271"/>
    <mergeCell ref="M271:N271"/>
    <mergeCell ref="P271:Q271"/>
    <mergeCell ref="R271:S271"/>
    <mergeCell ref="A272:T272"/>
    <mergeCell ref="C263:E263"/>
    <mergeCell ref="F263:H263"/>
    <mergeCell ref="I263:J263"/>
    <mergeCell ref="K263:L263"/>
    <mergeCell ref="M263:N263"/>
    <mergeCell ref="P263:Q263"/>
    <mergeCell ref="R263:S263"/>
    <mergeCell ref="A264:T264"/>
    <mergeCell ref="C265:E265"/>
    <mergeCell ref="F265:H265"/>
    <mergeCell ref="I265:J265"/>
    <mergeCell ref="K265:L265"/>
    <mergeCell ref="M265:N265"/>
    <mergeCell ref="P265:Q265"/>
    <mergeCell ref="R265:S265"/>
    <mergeCell ref="A266:T266"/>
    <mergeCell ref="C267:E267"/>
    <mergeCell ref="F267:H267"/>
    <mergeCell ref="I267:J267"/>
    <mergeCell ref="K267:L267"/>
    <mergeCell ref="M267:N267"/>
    <mergeCell ref="P267:Q267"/>
    <mergeCell ref="R267:S267"/>
    <mergeCell ref="A258:T258"/>
    <mergeCell ref="C259:E259"/>
    <mergeCell ref="F259:H259"/>
    <mergeCell ref="I259:J259"/>
    <mergeCell ref="K259:L259"/>
    <mergeCell ref="M259:N259"/>
    <mergeCell ref="P259:Q259"/>
    <mergeCell ref="R259:S259"/>
    <mergeCell ref="A260:T260"/>
    <mergeCell ref="C261:E261"/>
    <mergeCell ref="F261:H261"/>
    <mergeCell ref="I261:J261"/>
    <mergeCell ref="K261:L261"/>
    <mergeCell ref="M261:N261"/>
    <mergeCell ref="P261:Q261"/>
    <mergeCell ref="R261:S261"/>
    <mergeCell ref="A262:T262"/>
    <mergeCell ref="C253:E253"/>
    <mergeCell ref="F253:H253"/>
    <mergeCell ref="I253:J253"/>
    <mergeCell ref="K253:L253"/>
    <mergeCell ref="M253:N253"/>
    <mergeCell ref="P253:Q253"/>
    <mergeCell ref="R253:S253"/>
    <mergeCell ref="A254:T254"/>
    <mergeCell ref="C255:E255"/>
    <mergeCell ref="F255:H255"/>
    <mergeCell ref="I255:J255"/>
    <mergeCell ref="K255:L255"/>
    <mergeCell ref="M255:N255"/>
    <mergeCell ref="P255:Q255"/>
    <mergeCell ref="R255:S255"/>
    <mergeCell ref="A256:T256"/>
    <mergeCell ref="C257:E257"/>
    <mergeCell ref="F257:H257"/>
    <mergeCell ref="I257:J257"/>
    <mergeCell ref="K257:L257"/>
    <mergeCell ref="M257:N257"/>
    <mergeCell ref="P257:Q257"/>
    <mergeCell ref="R257:S257"/>
    <mergeCell ref="A248:T248"/>
    <mergeCell ref="C249:E249"/>
    <mergeCell ref="F249:H249"/>
    <mergeCell ref="I249:J249"/>
    <mergeCell ref="K249:L249"/>
    <mergeCell ref="M249:N249"/>
    <mergeCell ref="P249:Q249"/>
    <mergeCell ref="R249:S249"/>
    <mergeCell ref="A250:T250"/>
    <mergeCell ref="C251:E251"/>
    <mergeCell ref="F251:H251"/>
    <mergeCell ref="I251:J251"/>
    <mergeCell ref="K251:L251"/>
    <mergeCell ref="M251:N251"/>
    <mergeCell ref="P251:Q251"/>
    <mergeCell ref="R251:S251"/>
    <mergeCell ref="A252:T252"/>
    <mergeCell ref="C243:E243"/>
    <mergeCell ref="F243:H243"/>
    <mergeCell ref="I243:J243"/>
    <mergeCell ref="K243:L243"/>
    <mergeCell ref="M243:N243"/>
    <mergeCell ref="P243:Q243"/>
    <mergeCell ref="R243:S243"/>
    <mergeCell ref="A244:T244"/>
    <mergeCell ref="C245:E245"/>
    <mergeCell ref="F245:H245"/>
    <mergeCell ref="I245:J245"/>
    <mergeCell ref="K245:L245"/>
    <mergeCell ref="M245:N245"/>
    <mergeCell ref="P245:Q245"/>
    <mergeCell ref="R245:S245"/>
    <mergeCell ref="A246:T246"/>
    <mergeCell ref="C247:E247"/>
    <mergeCell ref="F247:H247"/>
    <mergeCell ref="I247:J247"/>
    <mergeCell ref="K247:L247"/>
    <mergeCell ref="M247:N247"/>
    <mergeCell ref="P247:Q247"/>
    <mergeCell ref="R247:S247"/>
    <mergeCell ref="A238:T238"/>
    <mergeCell ref="C239:E239"/>
    <mergeCell ref="F239:H239"/>
    <mergeCell ref="I239:J239"/>
    <mergeCell ref="K239:L239"/>
    <mergeCell ref="M239:N239"/>
    <mergeCell ref="P239:Q239"/>
    <mergeCell ref="R239:S239"/>
    <mergeCell ref="A240:T240"/>
    <mergeCell ref="C241:E241"/>
    <mergeCell ref="F241:H241"/>
    <mergeCell ref="I241:J241"/>
    <mergeCell ref="K241:L241"/>
    <mergeCell ref="M241:N241"/>
    <mergeCell ref="P241:Q241"/>
    <mergeCell ref="R241:S241"/>
    <mergeCell ref="A242:T242"/>
    <mergeCell ref="C233:E233"/>
    <mergeCell ref="F233:H233"/>
    <mergeCell ref="I233:J233"/>
    <mergeCell ref="K233:L233"/>
    <mergeCell ref="M233:N233"/>
    <mergeCell ref="P233:Q233"/>
    <mergeCell ref="R233:S233"/>
    <mergeCell ref="A234:T234"/>
    <mergeCell ref="C235:E235"/>
    <mergeCell ref="F235:H235"/>
    <mergeCell ref="I235:J235"/>
    <mergeCell ref="K235:L235"/>
    <mergeCell ref="M235:N235"/>
    <mergeCell ref="P235:Q235"/>
    <mergeCell ref="R235:S235"/>
    <mergeCell ref="A236:T236"/>
    <mergeCell ref="C237:E237"/>
    <mergeCell ref="F237:H237"/>
    <mergeCell ref="I237:J237"/>
    <mergeCell ref="K237:L237"/>
    <mergeCell ref="M237:N237"/>
    <mergeCell ref="P237:Q237"/>
    <mergeCell ref="R237:S237"/>
    <mergeCell ref="A228:T228"/>
    <mergeCell ref="C229:E229"/>
    <mergeCell ref="F229:H229"/>
    <mergeCell ref="I229:J229"/>
    <mergeCell ref="K229:L229"/>
    <mergeCell ref="M229:N229"/>
    <mergeCell ref="P229:Q229"/>
    <mergeCell ref="R229:S229"/>
    <mergeCell ref="A230:T230"/>
    <mergeCell ref="C231:E231"/>
    <mergeCell ref="F231:H231"/>
    <mergeCell ref="I231:J231"/>
    <mergeCell ref="K231:L231"/>
    <mergeCell ref="M231:N231"/>
    <mergeCell ref="P231:Q231"/>
    <mergeCell ref="R231:S231"/>
    <mergeCell ref="A232:T232"/>
    <mergeCell ref="C223:E223"/>
    <mergeCell ref="F223:H223"/>
    <mergeCell ref="I223:J223"/>
    <mergeCell ref="K223:L223"/>
    <mergeCell ref="M223:N223"/>
    <mergeCell ref="P223:Q223"/>
    <mergeCell ref="R223:S223"/>
    <mergeCell ref="A224:T224"/>
    <mergeCell ref="C225:E225"/>
    <mergeCell ref="F225:H225"/>
    <mergeCell ref="I225:J225"/>
    <mergeCell ref="K225:L225"/>
    <mergeCell ref="M225:N225"/>
    <mergeCell ref="P225:Q225"/>
    <mergeCell ref="R225:S225"/>
    <mergeCell ref="A226:T226"/>
    <mergeCell ref="C227:E227"/>
    <mergeCell ref="F227:H227"/>
    <mergeCell ref="I227:J227"/>
    <mergeCell ref="K227:L227"/>
    <mergeCell ref="M227:N227"/>
    <mergeCell ref="P227:Q227"/>
    <mergeCell ref="R227:S227"/>
    <mergeCell ref="A218:T218"/>
    <mergeCell ref="C219:E219"/>
    <mergeCell ref="F219:H219"/>
    <mergeCell ref="I219:J219"/>
    <mergeCell ref="K219:L219"/>
    <mergeCell ref="M219:N219"/>
    <mergeCell ref="P219:Q219"/>
    <mergeCell ref="R219:S219"/>
    <mergeCell ref="A220:T220"/>
    <mergeCell ref="C221:E221"/>
    <mergeCell ref="F221:H221"/>
    <mergeCell ref="I221:J221"/>
    <mergeCell ref="K221:L221"/>
    <mergeCell ref="M221:N221"/>
    <mergeCell ref="P221:Q221"/>
    <mergeCell ref="R221:S221"/>
    <mergeCell ref="A222:T222"/>
    <mergeCell ref="C213:E213"/>
    <mergeCell ref="F213:H213"/>
    <mergeCell ref="I213:J213"/>
    <mergeCell ref="K213:L213"/>
    <mergeCell ref="M213:N213"/>
    <mergeCell ref="P213:Q213"/>
    <mergeCell ref="R213:S213"/>
    <mergeCell ref="A214:T214"/>
    <mergeCell ref="C215:E215"/>
    <mergeCell ref="F215:H215"/>
    <mergeCell ref="I215:J215"/>
    <mergeCell ref="K215:L215"/>
    <mergeCell ref="M215:N215"/>
    <mergeCell ref="P215:Q215"/>
    <mergeCell ref="R215:S215"/>
    <mergeCell ref="A216:T216"/>
    <mergeCell ref="C217:E217"/>
    <mergeCell ref="F217:H217"/>
    <mergeCell ref="I217:J217"/>
    <mergeCell ref="K217:L217"/>
    <mergeCell ref="M217:N217"/>
    <mergeCell ref="P217:Q217"/>
    <mergeCell ref="R217:S217"/>
    <mergeCell ref="A208:T208"/>
    <mergeCell ref="C209:E209"/>
    <mergeCell ref="F209:H209"/>
    <mergeCell ref="I209:J209"/>
    <mergeCell ref="K209:L209"/>
    <mergeCell ref="M209:N209"/>
    <mergeCell ref="P209:Q209"/>
    <mergeCell ref="R209:S209"/>
    <mergeCell ref="A210:T210"/>
    <mergeCell ref="C211:E211"/>
    <mergeCell ref="F211:H211"/>
    <mergeCell ref="I211:J211"/>
    <mergeCell ref="K211:L211"/>
    <mergeCell ref="M211:N211"/>
    <mergeCell ref="P211:Q211"/>
    <mergeCell ref="R211:S211"/>
    <mergeCell ref="A212:T212"/>
    <mergeCell ref="C203:E203"/>
    <mergeCell ref="F203:H203"/>
    <mergeCell ref="I203:J203"/>
    <mergeCell ref="K203:L203"/>
    <mergeCell ref="M203:N203"/>
    <mergeCell ref="P203:Q203"/>
    <mergeCell ref="R203:S203"/>
    <mergeCell ref="A204:T204"/>
    <mergeCell ref="C205:E205"/>
    <mergeCell ref="F205:H205"/>
    <mergeCell ref="I205:J205"/>
    <mergeCell ref="K205:L205"/>
    <mergeCell ref="M205:N205"/>
    <mergeCell ref="P205:Q205"/>
    <mergeCell ref="R205:S205"/>
    <mergeCell ref="A206:T206"/>
    <mergeCell ref="C207:E207"/>
    <mergeCell ref="F207:H207"/>
    <mergeCell ref="I207:J207"/>
    <mergeCell ref="K207:L207"/>
    <mergeCell ref="M207:N207"/>
    <mergeCell ref="P207:Q207"/>
    <mergeCell ref="R207:S207"/>
    <mergeCell ref="A198:T198"/>
    <mergeCell ref="C199:E199"/>
    <mergeCell ref="F199:H199"/>
    <mergeCell ref="I199:J199"/>
    <mergeCell ref="K199:L199"/>
    <mergeCell ref="M199:N199"/>
    <mergeCell ref="P199:Q199"/>
    <mergeCell ref="R199:S199"/>
    <mergeCell ref="A200:T200"/>
    <mergeCell ref="C201:E201"/>
    <mergeCell ref="F201:H201"/>
    <mergeCell ref="I201:J201"/>
    <mergeCell ref="K201:L201"/>
    <mergeCell ref="M201:N201"/>
    <mergeCell ref="P201:Q201"/>
    <mergeCell ref="R201:S201"/>
    <mergeCell ref="A202:T202"/>
    <mergeCell ref="C193:E193"/>
    <mergeCell ref="F193:H193"/>
    <mergeCell ref="I193:J193"/>
    <mergeCell ref="K193:L193"/>
    <mergeCell ref="M193:N193"/>
    <mergeCell ref="P193:Q193"/>
    <mergeCell ref="R193:S193"/>
    <mergeCell ref="A194:T194"/>
    <mergeCell ref="C195:E195"/>
    <mergeCell ref="F195:H195"/>
    <mergeCell ref="I195:J195"/>
    <mergeCell ref="K195:L195"/>
    <mergeCell ref="M195:N195"/>
    <mergeCell ref="P195:Q195"/>
    <mergeCell ref="R195:S195"/>
    <mergeCell ref="A196:T196"/>
    <mergeCell ref="C197:E197"/>
    <mergeCell ref="F197:H197"/>
    <mergeCell ref="I197:J197"/>
    <mergeCell ref="K197:L197"/>
    <mergeCell ref="M197:N197"/>
    <mergeCell ref="P197:Q197"/>
    <mergeCell ref="R197:S197"/>
    <mergeCell ref="A188:T188"/>
    <mergeCell ref="C189:E189"/>
    <mergeCell ref="F189:H189"/>
    <mergeCell ref="I189:J189"/>
    <mergeCell ref="K189:L189"/>
    <mergeCell ref="M189:N189"/>
    <mergeCell ref="P189:Q189"/>
    <mergeCell ref="R189:S189"/>
    <mergeCell ref="A190:T190"/>
    <mergeCell ref="C191:E191"/>
    <mergeCell ref="F191:H191"/>
    <mergeCell ref="I191:J191"/>
    <mergeCell ref="K191:L191"/>
    <mergeCell ref="M191:N191"/>
    <mergeCell ref="P191:Q191"/>
    <mergeCell ref="R191:S191"/>
    <mergeCell ref="A192:T192"/>
    <mergeCell ref="C183:E183"/>
    <mergeCell ref="F183:H183"/>
    <mergeCell ref="I183:J183"/>
    <mergeCell ref="K183:L183"/>
    <mergeCell ref="M183:N183"/>
    <mergeCell ref="P183:Q183"/>
    <mergeCell ref="R183:S183"/>
    <mergeCell ref="A184:T184"/>
    <mergeCell ref="C185:E185"/>
    <mergeCell ref="F185:H185"/>
    <mergeCell ref="I185:J185"/>
    <mergeCell ref="K185:L185"/>
    <mergeCell ref="M185:N185"/>
    <mergeCell ref="P185:Q185"/>
    <mergeCell ref="R185:S185"/>
    <mergeCell ref="A186:T186"/>
    <mergeCell ref="C187:E187"/>
    <mergeCell ref="F187:H187"/>
    <mergeCell ref="I187:J187"/>
    <mergeCell ref="K187:L187"/>
    <mergeCell ref="M187:N187"/>
    <mergeCell ref="P187:Q187"/>
    <mergeCell ref="R187:S187"/>
    <mergeCell ref="A178:T178"/>
    <mergeCell ref="C179:E179"/>
    <mergeCell ref="F179:H179"/>
    <mergeCell ref="I179:J179"/>
    <mergeCell ref="K179:L179"/>
    <mergeCell ref="M179:N179"/>
    <mergeCell ref="P179:Q179"/>
    <mergeCell ref="R179:S179"/>
    <mergeCell ref="A180:T180"/>
    <mergeCell ref="C181:E181"/>
    <mergeCell ref="F181:H181"/>
    <mergeCell ref="I181:J181"/>
    <mergeCell ref="K181:L181"/>
    <mergeCell ref="M181:N181"/>
    <mergeCell ref="P181:Q181"/>
    <mergeCell ref="R181:S181"/>
    <mergeCell ref="A182:T182"/>
    <mergeCell ref="C173:E173"/>
    <mergeCell ref="F173:H173"/>
    <mergeCell ref="I173:J173"/>
    <mergeCell ref="K173:L173"/>
    <mergeCell ref="M173:N173"/>
    <mergeCell ref="P173:Q173"/>
    <mergeCell ref="R173:S173"/>
    <mergeCell ref="A174:T174"/>
    <mergeCell ref="C175:E175"/>
    <mergeCell ref="F175:H175"/>
    <mergeCell ref="I175:J175"/>
    <mergeCell ref="K175:L175"/>
    <mergeCell ref="M175:N175"/>
    <mergeCell ref="P175:Q175"/>
    <mergeCell ref="R175:S175"/>
    <mergeCell ref="A176:T176"/>
    <mergeCell ref="C177:E177"/>
    <mergeCell ref="F177:H177"/>
    <mergeCell ref="I177:J177"/>
    <mergeCell ref="K177:L177"/>
    <mergeCell ref="M177:N177"/>
    <mergeCell ref="P177:Q177"/>
    <mergeCell ref="R177:S177"/>
    <mergeCell ref="A168:T168"/>
    <mergeCell ref="C169:E169"/>
    <mergeCell ref="F169:H169"/>
    <mergeCell ref="I169:J169"/>
    <mergeCell ref="K169:L169"/>
    <mergeCell ref="M169:N169"/>
    <mergeCell ref="P169:Q169"/>
    <mergeCell ref="R169:S169"/>
    <mergeCell ref="A170:T170"/>
    <mergeCell ref="C171:E171"/>
    <mergeCell ref="F171:H171"/>
    <mergeCell ref="I171:J171"/>
    <mergeCell ref="K171:L171"/>
    <mergeCell ref="M171:N171"/>
    <mergeCell ref="P171:Q171"/>
    <mergeCell ref="R171:S171"/>
    <mergeCell ref="A172:T172"/>
    <mergeCell ref="C163:E163"/>
    <mergeCell ref="F163:H163"/>
    <mergeCell ref="I163:J163"/>
    <mergeCell ref="K163:L163"/>
    <mergeCell ref="M163:N163"/>
    <mergeCell ref="P163:Q163"/>
    <mergeCell ref="R163:S163"/>
    <mergeCell ref="A164:T164"/>
    <mergeCell ref="C165:E165"/>
    <mergeCell ref="F165:H165"/>
    <mergeCell ref="I165:J165"/>
    <mergeCell ref="K165:L165"/>
    <mergeCell ref="M165:N165"/>
    <mergeCell ref="P165:Q165"/>
    <mergeCell ref="R165:S165"/>
    <mergeCell ref="A166:T166"/>
    <mergeCell ref="C167:E167"/>
    <mergeCell ref="F167:H167"/>
    <mergeCell ref="I167:J167"/>
    <mergeCell ref="K167:L167"/>
    <mergeCell ref="M167:N167"/>
    <mergeCell ref="P167:Q167"/>
    <mergeCell ref="R167:S167"/>
    <mergeCell ref="A158:T158"/>
    <mergeCell ref="C159:E159"/>
    <mergeCell ref="F159:H159"/>
    <mergeCell ref="I159:J159"/>
    <mergeCell ref="K159:L159"/>
    <mergeCell ref="M159:N159"/>
    <mergeCell ref="P159:Q159"/>
    <mergeCell ref="R159:S159"/>
    <mergeCell ref="A160:T160"/>
    <mergeCell ref="C161:E161"/>
    <mergeCell ref="F161:H161"/>
    <mergeCell ref="I161:J161"/>
    <mergeCell ref="K161:L161"/>
    <mergeCell ref="M161:N161"/>
    <mergeCell ref="P161:Q161"/>
    <mergeCell ref="R161:S161"/>
    <mergeCell ref="A162:T162"/>
    <mergeCell ref="C153:E153"/>
    <mergeCell ref="F153:H153"/>
    <mergeCell ref="I153:J153"/>
    <mergeCell ref="K153:L153"/>
    <mergeCell ref="M153:N153"/>
    <mergeCell ref="P153:Q153"/>
    <mergeCell ref="R153:S153"/>
    <mergeCell ref="A154:T154"/>
    <mergeCell ref="C155:E155"/>
    <mergeCell ref="F155:H155"/>
    <mergeCell ref="I155:J155"/>
    <mergeCell ref="K155:L155"/>
    <mergeCell ref="M155:N155"/>
    <mergeCell ref="P155:Q155"/>
    <mergeCell ref="R155:S155"/>
    <mergeCell ref="A156:T156"/>
    <mergeCell ref="C157:E157"/>
    <mergeCell ref="F157:H157"/>
    <mergeCell ref="I157:J157"/>
    <mergeCell ref="K157:L157"/>
    <mergeCell ref="M157:N157"/>
    <mergeCell ref="P157:Q157"/>
    <mergeCell ref="R157:S157"/>
    <mergeCell ref="A148:T148"/>
    <mergeCell ref="C149:E149"/>
    <mergeCell ref="F149:H149"/>
    <mergeCell ref="I149:J149"/>
    <mergeCell ref="K149:L149"/>
    <mergeCell ref="M149:N149"/>
    <mergeCell ref="P149:Q149"/>
    <mergeCell ref="R149:S149"/>
    <mergeCell ref="A150:T150"/>
    <mergeCell ref="C151:E151"/>
    <mergeCell ref="F151:H151"/>
    <mergeCell ref="I151:J151"/>
    <mergeCell ref="K151:L151"/>
    <mergeCell ref="M151:N151"/>
    <mergeCell ref="P151:Q151"/>
    <mergeCell ref="R151:S151"/>
    <mergeCell ref="A152:T152"/>
    <mergeCell ref="C143:E143"/>
    <mergeCell ref="F143:H143"/>
    <mergeCell ref="I143:J143"/>
    <mergeCell ref="K143:L143"/>
    <mergeCell ref="M143:N143"/>
    <mergeCell ref="P143:Q143"/>
    <mergeCell ref="R143:S143"/>
    <mergeCell ref="A144:T144"/>
    <mergeCell ref="C145:E145"/>
    <mergeCell ref="F145:H145"/>
    <mergeCell ref="I145:J145"/>
    <mergeCell ref="K145:L145"/>
    <mergeCell ref="M145:N145"/>
    <mergeCell ref="P145:Q145"/>
    <mergeCell ref="R145:S145"/>
    <mergeCell ref="A146:T146"/>
    <mergeCell ref="C147:E147"/>
    <mergeCell ref="F147:H147"/>
    <mergeCell ref="I147:J147"/>
    <mergeCell ref="K147:L147"/>
    <mergeCell ref="M147:N147"/>
    <mergeCell ref="P147:Q147"/>
    <mergeCell ref="R147:S147"/>
    <mergeCell ref="A138:T138"/>
    <mergeCell ref="C139:E139"/>
    <mergeCell ref="F139:H139"/>
    <mergeCell ref="I139:J139"/>
    <mergeCell ref="K139:L139"/>
    <mergeCell ref="M139:N139"/>
    <mergeCell ref="P139:Q139"/>
    <mergeCell ref="R139:S139"/>
    <mergeCell ref="A140:T140"/>
    <mergeCell ref="C141:E141"/>
    <mergeCell ref="F141:H141"/>
    <mergeCell ref="I141:J141"/>
    <mergeCell ref="K141:L141"/>
    <mergeCell ref="M141:N141"/>
    <mergeCell ref="P141:Q141"/>
    <mergeCell ref="R141:S141"/>
    <mergeCell ref="A142:T142"/>
    <mergeCell ref="C133:E133"/>
    <mergeCell ref="F133:H133"/>
    <mergeCell ref="I133:J133"/>
    <mergeCell ref="K133:L133"/>
    <mergeCell ref="M133:N133"/>
    <mergeCell ref="P133:Q133"/>
    <mergeCell ref="R133:S133"/>
    <mergeCell ref="A134:T134"/>
    <mergeCell ref="C135:E135"/>
    <mergeCell ref="F135:H135"/>
    <mergeCell ref="I135:J135"/>
    <mergeCell ref="K135:L135"/>
    <mergeCell ref="M135:N135"/>
    <mergeCell ref="P135:Q135"/>
    <mergeCell ref="R135:S135"/>
    <mergeCell ref="A136:T136"/>
    <mergeCell ref="C137:E137"/>
    <mergeCell ref="F137:H137"/>
    <mergeCell ref="I137:J137"/>
    <mergeCell ref="K137:L137"/>
    <mergeCell ref="M137:N137"/>
    <mergeCell ref="P137:Q137"/>
    <mergeCell ref="R137:S137"/>
    <mergeCell ref="A128:T128"/>
    <mergeCell ref="C129:E129"/>
    <mergeCell ref="F129:H129"/>
    <mergeCell ref="I129:J129"/>
    <mergeCell ref="K129:L129"/>
    <mergeCell ref="M129:N129"/>
    <mergeCell ref="P129:Q129"/>
    <mergeCell ref="R129:S129"/>
    <mergeCell ref="A130:T130"/>
    <mergeCell ref="C131:E131"/>
    <mergeCell ref="F131:H131"/>
    <mergeCell ref="I131:J131"/>
    <mergeCell ref="K131:L131"/>
    <mergeCell ref="M131:N131"/>
    <mergeCell ref="P131:Q131"/>
    <mergeCell ref="R131:S131"/>
    <mergeCell ref="A132:T132"/>
    <mergeCell ref="C123:E123"/>
    <mergeCell ref="F123:H123"/>
    <mergeCell ref="I123:J123"/>
    <mergeCell ref="K123:L123"/>
    <mergeCell ref="M123:N123"/>
    <mergeCell ref="P123:Q123"/>
    <mergeCell ref="R123:S123"/>
    <mergeCell ref="A124:T124"/>
    <mergeCell ref="C125:E125"/>
    <mergeCell ref="F125:H125"/>
    <mergeCell ref="I125:J125"/>
    <mergeCell ref="K125:L125"/>
    <mergeCell ref="M125:N125"/>
    <mergeCell ref="P125:Q125"/>
    <mergeCell ref="R125:S125"/>
    <mergeCell ref="A126:T126"/>
    <mergeCell ref="C127:E127"/>
    <mergeCell ref="F127:H127"/>
    <mergeCell ref="I127:J127"/>
    <mergeCell ref="K127:L127"/>
    <mergeCell ref="M127:N127"/>
    <mergeCell ref="P127:Q127"/>
    <mergeCell ref="R127:S127"/>
    <mergeCell ref="A118:T118"/>
    <mergeCell ref="C119:E119"/>
    <mergeCell ref="F119:H119"/>
    <mergeCell ref="I119:J119"/>
    <mergeCell ref="K119:L119"/>
    <mergeCell ref="M119:N119"/>
    <mergeCell ref="P119:Q119"/>
    <mergeCell ref="R119:S119"/>
    <mergeCell ref="A120:T120"/>
    <mergeCell ref="C121:E121"/>
    <mergeCell ref="F121:H121"/>
    <mergeCell ref="I121:J121"/>
    <mergeCell ref="K121:L121"/>
    <mergeCell ref="M121:N121"/>
    <mergeCell ref="P121:Q121"/>
    <mergeCell ref="R121:S121"/>
    <mergeCell ref="A122:T122"/>
    <mergeCell ref="C113:E113"/>
    <mergeCell ref="F113:H113"/>
    <mergeCell ref="I113:J113"/>
    <mergeCell ref="K113:L113"/>
    <mergeCell ref="M113:N113"/>
    <mergeCell ref="P113:Q113"/>
    <mergeCell ref="R113:S113"/>
    <mergeCell ref="A114:T114"/>
    <mergeCell ref="C115:E115"/>
    <mergeCell ref="F115:H115"/>
    <mergeCell ref="I115:J115"/>
    <mergeCell ref="K115:L115"/>
    <mergeCell ref="M115:N115"/>
    <mergeCell ref="P115:Q115"/>
    <mergeCell ref="R115:S115"/>
    <mergeCell ref="A116:T116"/>
    <mergeCell ref="C117:E117"/>
    <mergeCell ref="F117:H117"/>
    <mergeCell ref="I117:J117"/>
    <mergeCell ref="K117:L117"/>
    <mergeCell ref="M117:N117"/>
    <mergeCell ref="P117:Q117"/>
    <mergeCell ref="R117:S117"/>
    <mergeCell ref="A108:T108"/>
    <mergeCell ref="C109:E109"/>
    <mergeCell ref="F109:H109"/>
    <mergeCell ref="I109:J109"/>
    <mergeCell ref="K109:L109"/>
    <mergeCell ref="M109:N109"/>
    <mergeCell ref="P109:Q109"/>
    <mergeCell ref="R109:S109"/>
    <mergeCell ref="A110:T110"/>
    <mergeCell ref="C111:E111"/>
    <mergeCell ref="F111:H111"/>
    <mergeCell ref="I111:J111"/>
    <mergeCell ref="K111:L111"/>
    <mergeCell ref="M111:N111"/>
    <mergeCell ref="P111:Q111"/>
    <mergeCell ref="R111:S111"/>
    <mergeCell ref="A112:T112"/>
    <mergeCell ref="C103:E103"/>
    <mergeCell ref="F103:H103"/>
    <mergeCell ref="I103:J103"/>
    <mergeCell ref="K103:L103"/>
    <mergeCell ref="M103:N103"/>
    <mergeCell ref="P103:Q103"/>
    <mergeCell ref="R103:S103"/>
    <mergeCell ref="A104:T104"/>
    <mergeCell ref="C105:E105"/>
    <mergeCell ref="F105:H105"/>
    <mergeCell ref="I105:J105"/>
    <mergeCell ref="K105:L105"/>
    <mergeCell ref="M105:N105"/>
    <mergeCell ref="P105:Q105"/>
    <mergeCell ref="R105:S105"/>
    <mergeCell ref="A106:T106"/>
    <mergeCell ref="C107:E107"/>
    <mergeCell ref="F107:H107"/>
    <mergeCell ref="I107:J107"/>
    <mergeCell ref="K107:L107"/>
    <mergeCell ref="M107:N107"/>
    <mergeCell ref="P107:Q107"/>
    <mergeCell ref="R107:S107"/>
    <mergeCell ref="A98:T98"/>
    <mergeCell ref="C99:E99"/>
    <mergeCell ref="F99:H99"/>
    <mergeCell ref="I99:J99"/>
    <mergeCell ref="K99:L99"/>
    <mergeCell ref="M99:N99"/>
    <mergeCell ref="P99:Q99"/>
    <mergeCell ref="R99:S99"/>
    <mergeCell ref="A100:T100"/>
    <mergeCell ref="C101:E101"/>
    <mergeCell ref="F101:H101"/>
    <mergeCell ref="I101:J101"/>
    <mergeCell ref="K101:L101"/>
    <mergeCell ref="M101:N101"/>
    <mergeCell ref="P101:Q101"/>
    <mergeCell ref="R101:S101"/>
    <mergeCell ref="A102:T102"/>
    <mergeCell ref="C93:E93"/>
    <mergeCell ref="F93:H93"/>
    <mergeCell ref="I93:J93"/>
    <mergeCell ref="K93:L93"/>
    <mergeCell ref="M93:N93"/>
    <mergeCell ref="P93:Q93"/>
    <mergeCell ref="R93:S93"/>
    <mergeCell ref="A94:T94"/>
    <mergeCell ref="C95:E95"/>
    <mergeCell ref="F95:H95"/>
    <mergeCell ref="I95:J95"/>
    <mergeCell ref="K95:L95"/>
    <mergeCell ref="M95:N95"/>
    <mergeCell ref="P95:Q95"/>
    <mergeCell ref="R95:S95"/>
    <mergeCell ref="A96:T96"/>
    <mergeCell ref="C97:E97"/>
    <mergeCell ref="F97:H97"/>
    <mergeCell ref="I97:J97"/>
    <mergeCell ref="K97:L97"/>
    <mergeCell ref="M97:N97"/>
    <mergeCell ref="P97:Q97"/>
    <mergeCell ref="R97:S97"/>
    <mergeCell ref="A88:T88"/>
    <mergeCell ref="C89:E89"/>
    <mergeCell ref="F89:H89"/>
    <mergeCell ref="I89:J89"/>
    <mergeCell ref="K89:L89"/>
    <mergeCell ref="M89:N89"/>
    <mergeCell ref="P89:Q89"/>
    <mergeCell ref="R89:S89"/>
    <mergeCell ref="A90:T90"/>
    <mergeCell ref="C91:E91"/>
    <mergeCell ref="F91:H91"/>
    <mergeCell ref="I91:J91"/>
    <mergeCell ref="K91:L91"/>
    <mergeCell ref="M91:N91"/>
    <mergeCell ref="P91:Q91"/>
    <mergeCell ref="R91:S91"/>
    <mergeCell ref="A92:T92"/>
    <mergeCell ref="C83:E83"/>
    <mergeCell ref="F83:H83"/>
    <mergeCell ref="I83:J83"/>
    <mergeCell ref="K83:L83"/>
    <mergeCell ref="M83:N83"/>
    <mergeCell ref="P83:Q83"/>
    <mergeCell ref="R83:S83"/>
    <mergeCell ref="A84:T84"/>
    <mergeCell ref="C85:E85"/>
    <mergeCell ref="F85:H85"/>
    <mergeCell ref="I85:J85"/>
    <mergeCell ref="K85:L85"/>
    <mergeCell ref="M85:N85"/>
    <mergeCell ref="P85:Q85"/>
    <mergeCell ref="R85:S85"/>
    <mergeCell ref="A86:T86"/>
    <mergeCell ref="C87:E87"/>
    <mergeCell ref="F87:H87"/>
    <mergeCell ref="I87:J87"/>
    <mergeCell ref="K87:L87"/>
    <mergeCell ref="M87:N87"/>
    <mergeCell ref="P87:Q87"/>
    <mergeCell ref="R87:S87"/>
    <mergeCell ref="A78:T78"/>
    <mergeCell ref="C79:E79"/>
    <mergeCell ref="F79:H79"/>
    <mergeCell ref="I79:J79"/>
    <mergeCell ref="K79:L79"/>
    <mergeCell ref="M79:N79"/>
    <mergeCell ref="P79:Q79"/>
    <mergeCell ref="R79:S79"/>
    <mergeCell ref="A80:T80"/>
    <mergeCell ref="C81:E81"/>
    <mergeCell ref="F81:H81"/>
    <mergeCell ref="I81:J81"/>
    <mergeCell ref="K81:L81"/>
    <mergeCell ref="M81:N81"/>
    <mergeCell ref="P81:Q81"/>
    <mergeCell ref="R81:S81"/>
    <mergeCell ref="A82:T82"/>
    <mergeCell ref="C73:E73"/>
    <mergeCell ref="F73:H73"/>
    <mergeCell ref="I73:J73"/>
    <mergeCell ref="K73:L73"/>
    <mergeCell ref="M73:N73"/>
    <mergeCell ref="P73:Q73"/>
    <mergeCell ref="R73:S73"/>
    <mergeCell ref="A74:T74"/>
    <mergeCell ref="C75:E75"/>
    <mergeCell ref="F75:H75"/>
    <mergeCell ref="I75:J75"/>
    <mergeCell ref="K75:L75"/>
    <mergeCell ref="M75:N75"/>
    <mergeCell ref="P75:Q75"/>
    <mergeCell ref="R75:S75"/>
    <mergeCell ref="A76:T76"/>
    <mergeCell ref="C77:E77"/>
    <mergeCell ref="F77:H77"/>
    <mergeCell ref="I77:J77"/>
    <mergeCell ref="K77:L77"/>
    <mergeCell ref="M77:N77"/>
    <mergeCell ref="P77:Q77"/>
    <mergeCell ref="R77:S77"/>
    <mergeCell ref="A68:T68"/>
    <mergeCell ref="C69:E69"/>
    <mergeCell ref="F69:H69"/>
    <mergeCell ref="I69:J69"/>
    <mergeCell ref="K69:L69"/>
    <mergeCell ref="M69:N69"/>
    <mergeCell ref="P69:Q69"/>
    <mergeCell ref="R69:S69"/>
    <mergeCell ref="A70:T70"/>
    <mergeCell ref="C71:E71"/>
    <mergeCell ref="F71:H71"/>
    <mergeCell ref="I71:J71"/>
    <mergeCell ref="K71:L71"/>
    <mergeCell ref="M71:N71"/>
    <mergeCell ref="P71:Q71"/>
    <mergeCell ref="R71:S71"/>
    <mergeCell ref="A72:T72"/>
    <mergeCell ref="C63:E63"/>
    <mergeCell ref="F63:H63"/>
    <mergeCell ref="I63:J63"/>
    <mergeCell ref="K63:L63"/>
    <mergeCell ref="M63:N63"/>
    <mergeCell ref="P63:Q63"/>
    <mergeCell ref="R63:S63"/>
    <mergeCell ref="A64:T64"/>
    <mergeCell ref="C65:E65"/>
    <mergeCell ref="F65:H65"/>
    <mergeCell ref="I65:J65"/>
    <mergeCell ref="K65:L65"/>
    <mergeCell ref="M65:N65"/>
    <mergeCell ref="P65:Q65"/>
    <mergeCell ref="R65:S65"/>
    <mergeCell ref="A66:T66"/>
    <mergeCell ref="C67:E67"/>
    <mergeCell ref="F67:H67"/>
    <mergeCell ref="I67:J67"/>
    <mergeCell ref="K67:L67"/>
    <mergeCell ref="M67:N67"/>
    <mergeCell ref="P67:Q67"/>
    <mergeCell ref="R67:S67"/>
    <mergeCell ref="A58:T58"/>
    <mergeCell ref="C59:E59"/>
    <mergeCell ref="F59:H59"/>
    <mergeCell ref="I59:J59"/>
    <mergeCell ref="K59:L59"/>
    <mergeCell ref="M59:N59"/>
    <mergeCell ref="P59:Q59"/>
    <mergeCell ref="R59:S59"/>
    <mergeCell ref="A60:T60"/>
    <mergeCell ref="C61:E61"/>
    <mergeCell ref="F61:H61"/>
    <mergeCell ref="I61:J61"/>
    <mergeCell ref="K61:L61"/>
    <mergeCell ref="M61:N61"/>
    <mergeCell ref="P61:Q61"/>
    <mergeCell ref="R61:S61"/>
    <mergeCell ref="A62:T62"/>
    <mergeCell ref="C53:E53"/>
    <mergeCell ref="F53:H53"/>
    <mergeCell ref="I53:J53"/>
    <mergeCell ref="K53:L53"/>
    <mergeCell ref="M53:N53"/>
    <mergeCell ref="P53:Q53"/>
    <mergeCell ref="R53:S53"/>
    <mergeCell ref="A54:T54"/>
    <mergeCell ref="C55:E55"/>
    <mergeCell ref="F55:H55"/>
    <mergeCell ref="I55:J55"/>
    <mergeCell ref="K55:L55"/>
    <mergeCell ref="M55:N55"/>
    <mergeCell ref="P55:Q55"/>
    <mergeCell ref="R55:S55"/>
    <mergeCell ref="A56:T56"/>
    <mergeCell ref="C57:E57"/>
    <mergeCell ref="F57:H57"/>
    <mergeCell ref="I57:J57"/>
    <mergeCell ref="K57:L57"/>
    <mergeCell ref="M57:N57"/>
    <mergeCell ref="P57:Q57"/>
    <mergeCell ref="R57:S57"/>
    <mergeCell ref="A48:T48"/>
    <mergeCell ref="C49:E49"/>
    <mergeCell ref="F49:H49"/>
    <mergeCell ref="I49:J49"/>
    <mergeCell ref="K49:L49"/>
    <mergeCell ref="M49:N49"/>
    <mergeCell ref="P49:Q49"/>
    <mergeCell ref="R49:S49"/>
    <mergeCell ref="A50:T50"/>
    <mergeCell ref="C51:E51"/>
    <mergeCell ref="F51:H51"/>
    <mergeCell ref="I51:J51"/>
    <mergeCell ref="K51:L51"/>
    <mergeCell ref="M51:N51"/>
    <mergeCell ref="P51:Q51"/>
    <mergeCell ref="R51:S51"/>
    <mergeCell ref="A52:T52"/>
    <mergeCell ref="C43:E43"/>
    <mergeCell ref="F43:H43"/>
    <mergeCell ref="I43:J43"/>
    <mergeCell ref="K43:L43"/>
    <mergeCell ref="M43:N43"/>
    <mergeCell ref="P43:Q43"/>
    <mergeCell ref="R43:S43"/>
    <mergeCell ref="A44:T44"/>
    <mergeCell ref="C45:E45"/>
    <mergeCell ref="F45:H45"/>
    <mergeCell ref="I45:J45"/>
    <mergeCell ref="K45:L45"/>
    <mergeCell ref="M45:N45"/>
    <mergeCell ref="P45:Q45"/>
    <mergeCell ref="R45:S45"/>
    <mergeCell ref="A46:T46"/>
    <mergeCell ref="C47:E47"/>
    <mergeCell ref="F47:H47"/>
    <mergeCell ref="I47:J47"/>
    <mergeCell ref="K47:L47"/>
    <mergeCell ref="M47:N47"/>
    <mergeCell ref="P47:Q47"/>
    <mergeCell ref="R47:S47"/>
    <mergeCell ref="A38:T38"/>
    <mergeCell ref="C39:E39"/>
    <mergeCell ref="F39:H39"/>
    <mergeCell ref="I39:J39"/>
    <mergeCell ref="K39:L39"/>
    <mergeCell ref="M39:N39"/>
    <mergeCell ref="P39:Q39"/>
    <mergeCell ref="R39:S39"/>
    <mergeCell ref="A40:T40"/>
    <mergeCell ref="C41:E41"/>
    <mergeCell ref="F41:H41"/>
    <mergeCell ref="I41:J41"/>
    <mergeCell ref="K41:L41"/>
    <mergeCell ref="M41:N41"/>
    <mergeCell ref="P41:Q41"/>
    <mergeCell ref="R41:S41"/>
    <mergeCell ref="A42:T42"/>
    <mergeCell ref="C33:E33"/>
    <mergeCell ref="F33:H33"/>
    <mergeCell ref="I33:J33"/>
    <mergeCell ref="K33:L33"/>
    <mergeCell ref="M33:N33"/>
    <mergeCell ref="P33:Q33"/>
    <mergeCell ref="R33:S33"/>
    <mergeCell ref="A34:T34"/>
    <mergeCell ref="C35:E35"/>
    <mergeCell ref="F35:H35"/>
    <mergeCell ref="I35:J35"/>
    <mergeCell ref="K35:L35"/>
    <mergeCell ref="M35:N35"/>
    <mergeCell ref="P35:Q35"/>
    <mergeCell ref="R35:S35"/>
    <mergeCell ref="A36:T36"/>
    <mergeCell ref="C37:E37"/>
    <mergeCell ref="F37:H37"/>
    <mergeCell ref="I37:J37"/>
    <mergeCell ref="K37:L37"/>
    <mergeCell ref="M37:N37"/>
    <mergeCell ref="P37:Q37"/>
    <mergeCell ref="R37:S37"/>
    <mergeCell ref="A28:T28"/>
    <mergeCell ref="C29:E29"/>
    <mergeCell ref="F29:H29"/>
    <mergeCell ref="I29:J29"/>
    <mergeCell ref="K29:L29"/>
    <mergeCell ref="M29:N29"/>
    <mergeCell ref="P29:Q29"/>
    <mergeCell ref="R29:S29"/>
    <mergeCell ref="A30:T30"/>
    <mergeCell ref="C31:E31"/>
    <mergeCell ref="F31:H31"/>
    <mergeCell ref="I31:J31"/>
    <mergeCell ref="K31:L31"/>
    <mergeCell ref="M31:N31"/>
    <mergeCell ref="P31:Q31"/>
    <mergeCell ref="R31:S31"/>
    <mergeCell ref="A32:T32"/>
    <mergeCell ref="C23:E23"/>
    <mergeCell ref="F23:H23"/>
    <mergeCell ref="I23:J23"/>
    <mergeCell ref="K23:L23"/>
    <mergeCell ref="M23:N23"/>
    <mergeCell ref="P23:Q23"/>
    <mergeCell ref="R23:S23"/>
    <mergeCell ref="A24:T24"/>
    <mergeCell ref="C25:E25"/>
    <mergeCell ref="F25:H25"/>
    <mergeCell ref="I25:J25"/>
    <mergeCell ref="K25:L25"/>
    <mergeCell ref="M25:N25"/>
    <mergeCell ref="P25:Q25"/>
    <mergeCell ref="R25:S25"/>
    <mergeCell ref="A26:T26"/>
    <mergeCell ref="C27:E27"/>
    <mergeCell ref="F27:H27"/>
    <mergeCell ref="I27:J27"/>
    <mergeCell ref="K27:L27"/>
    <mergeCell ref="M27:N27"/>
    <mergeCell ref="P27:Q27"/>
    <mergeCell ref="R27:S27"/>
    <mergeCell ref="A15:D16"/>
    <mergeCell ref="Q15:U15"/>
    <mergeCell ref="A18:U18"/>
    <mergeCell ref="A20:C20"/>
    <mergeCell ref="D20:G20"/>
    <mergeCell ref="H20:K20"/>
    <mergeCell ref="L20:O20"/>
    <mergeCell ref="P20:T20"/>
    <mergeCell ref="B21:C21"/>
    <mergeCell ref="D21:F21"/>
    <mergeCell ref="H21:I21"/>
    <mergeCell ref="J21:K21"/>
    <mergeCell ref="L21:M21"/>
    <mergeCell ref="N21:O21"/>
    <mergeCell ref="P21:Q21"/>
    <mergeCell ref="R21:S21"/>
    <mergeCell ref="A22:T22"/>
    <mergeCell ref="A2:R2"/>
    <mergeCell ref="A3:R3"/>
    <mergeCell ref="A5:D6"/>
    <mergeCell ref="A8:U8"/>
    <mergeCell ref="Q9:U9"/>
    <mergeCell ref="A10:U10"/>
    <mergeCell ref="A11:U11"/>
    <mergeCell ref="A13:B13"/>
    <mergeCell ref="C13:H13"/>
    <mergeCell ref="I13:L13"/>
    <mergeCell ref="M13:O13"/>
    <mergeCell ref="P13:U13"/>
    <mergeCell ref="C14:E14"/>
    <mergeCell ref="F14:H14"/>
    <mergeCell ref="I14:J14"/>
    <mergeCell ref="K14:L14"/>
    <mergeCell ref="M14:N14"/>
    <mergeCell ref="P14:Q14"/>
    <mergeCell ref="R14:S14"/>
    <mergeCell ref="T14:U14"/>
  </mergeCells>
  <pageMargins left="0.19666667282581329" right="0.19666667282581329" top="0.20000000298023224" bottom="0.20000000298023224" header="0.3" footer="0.3"/>
  <pageSetup paperSize="9" orientation="landscape" errors="blank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B127"/>
  <sheetViews>
    <sheetView showGridLines="0" tabSelected="1" topLeftCell="A58" zoomScale="60" zoomScaleNormal="60" zoomScaleSheetLayoutView="50" workbookViewId="0">
      <selection activeCell="I1" sqref="I1:Q1048576"/>
    </sheetView>
  </sheetViews>
  <sheetFormatPr defaultColWidth="9.109375" defaultRowHeight="23.4" zeroHeight="1"/>
  <cols>
    <col min="1" max="1" width="74.6640625" style="110" customWidth="1"/>
    <col min="2" max="2" width="81" style="111" customWidth="1"/>
    <col min="3" max="3" width="11.44140625" style="112" customWidth="1"/>
    <col min="4" max="4" width="18.44140625" style="112" customWidth="1"/>
    <col min="5" max="5" width="16.44140625" style="111" bestFit="1" customWidth="1"/>
    <col min="6" max="6" width="17" style="111" customWidth="1"/>
    <col min="7" max="7" width="30.109375" style="113" customWidth="1"/>
    <col min="8" max="9" width="17" style="88" hidden="1" customWidth="1"/>
    <col min="10" max="11" width="0" style="86" hidden="1" customWidth="1"/>
    <col min="12" max="12" width="15.88671875" style="86" hidden="1" customWidth="1"/>
    <col min="13" max="13" width="13.6640625" style="86" hidden="1" customWidth="1"/>
    <col min="14" max="14" width="39.109375" style="86" hidden="1" customWidth="1"/>
    <col min="15" max="30" width="0" style="86" hidden="1" customWidth="1"/>
    <col min="31" max="16384" width="9.109375" style="86"/>
  </cols>
  <sheetData>
    <row r="1" spans="1:28" s="87" customFormat="1" ht="45" customHeight="1" thickBot="1">
      <c r="A1" s="334" t="s">
        <v>340</v>
      </c>
      <c r="B1" s="334"/>
      <c r="C1" s="334"/>
      <c r="D1" s="334"/>
      <c r="E1" s="334"/>
      <c r="F1" s="334"/>
      <c r="G1" s="334"/>
      <c r="H1" s="184" t="s">
        <v>350</v>
      </c>
      <c r="I1" s="175"/>
      <c r="J1" s="175"/>
      <c r="K1" s="175"/>
      <c r="L1" s="175"/>
      <c r="M1" s="175"/>
      <c r="N1" s="175"/>
      <c r="O1" s="175"/>
      <c r="P1" s="175"/>
      <c r="Q1" s="176"/>
      <c r="R1" s="86"/>
      <c r="S1" s="86"/>
    </row>
    <row r="2" spans="1:28" s="87" customFormat="1" ht="45" customHeight="1">
      <c r="A2" s="334" t="s">
        <v>356</v>
      </c>
      <c r="B2" s="334"/>
      <c r="C2" s="334"/>
      <c r="D2" s="334"/>
      <c r="E2" s="334"/>
      <c r="F2" s="334"/>
      <c r="G2" s="334"/>
      <c r="H2" s="337" t="s">
        <v>349</v>
      </c>
      <c r="I2" s="338"/>
      <c r="J2" s="338"/>
      <c r="K2" s="338"/>
      <c r="L2" s="338"/>
      <c r="M2" s="338"/>
      <c r="N2" s="338"/>
      <c r="O2" s="338"/>
      <c r="P2" s="338"/>
      <c r="Q2" s="339"/>
    </row>
    <row r="3" spans="1:28" s="87" customFormat="1" ht="21" customHeight="1" thickBot="1">
      <c r="A3" s="89"/>
      <c r="B3" s="89"/>
      <c r="C3" s="89"/>
      <c r="D3" s="89"/>
      <c r="E3" s="89"/>
      <c r="F3" s="89"/>
      <c r="G3" s="90"/>
      <c r="H3" s="340"/>
      <c r="I3" s="341"/>
      <c r="J3" s="341"/>
      <c r="K3" s="341"/>
      <c r="L3" s="341"/>
      <c r="M3" s="341"/>
      <c r="N3" s="341"/>
      <c r="O3" s="341"/>
      <c r="P3" s="341"/>
      <c r="Q3" s="342"/>
    </row>
    <row r="4" spans="1:28" s="87" customFormat="1" ht="45" customHeight="1" thickBot="1">
      <c r="A4" s="293" t="s">
        <v>41</v>
      </c>
      <c r="B4" s="294"/>
      <c r="C4" s="294"/>
      <c r="D4" s="294"/>
      <c r="E4" s="294"/>
      <c r="F4" s="295"/>
      <c r="G4" s="296"/>
      <c r="H4" s="343" t="s">
        <v>678</v>
      </c>
      <c r="I4" s="344"/>
      <c r="J4" s="344"/>
      <c r="K4" s="344"/>
      <c r="L4" s="344"/>
      <c r="M4" s="344"/>
      <c r="N4" s="344"/>
      <c r="O4" s="344"/>
      <c r="P4" s="344"/>
      <c r="Q4" s="344"/>
      <c r="R4" s="271" t="s">
        <v>667</v>
      </c>
      <c r="S4" s="272"/>
      <c r="T4" s="272"/>
      <c r="U4" s="272"/>
      <c r="V4" s="272"/>
      <c r="W4" s="272"/>
      <c r="X4" s="272"/>
      <c r="Y4" s="272"/>
      <c r="Z4" s="272"/>
      <c r="AA4" s="272"/>
      <c r="AB4" s="273"/>
    </row>
    <row r="5" spans="1:28" s="87" customFormat="1" ht="74.400000000000006" customHeight="1">
      <c r="A5" s="91" t="s">
        <v>14</v>
      </c>
      <c r="B5" s="297" t="s">
        <v>39</v>
      </c>
      <c r="C5" s="298"/>
      <c r="D5" s="171" t="s">
        <v>348</v>
      </c>
      <c r="E5" s="171" t="s">
        <v>347</v>
      </c>
      <c r="F5" s="92" t="s">
        <v>346</v>
      </c>
      <c r="G5" s="166" t="s">
        <v>345</v>
      </c>
      <c r="H5" s="114"/>
      <c r="K5" s="87" t="s">
        <v>655</v>
      </c>
      <c r="R5" s="269" t="s">
        <v>675</v>
      </c>
      <c r="S5" s="269"/>
      <c r="T5" s="269"/>
      <c r="U5" s="269"/>
      <c r="V5" s="269"/>
      <c r="W5" s="269"/>
      <c r="X5" s="269"/>
      <c r="Y5" s="269"/>
      <c r="Z5" s="269"/>
      <c r="AA5" s="269"/>
      <c r="AB5" s="269"/>
    </row>
    <row r="6" spans="1:28" s="87" customFormat="1" ht="30.75" customHeight="1">
      <c r="A6" s="299" t="s">
        <v>191</v>
      </c>
      <c r="B6" s="93" t="s">
        <v>126</v>
      </c>
      <c r="C6" s="301" t="s">
        <v>55</v>
      </c>
      <c r="D6" s="306" t="s">
        <v>645</v>
      </c>
      <c r="E6" s="291">
        <v>0.36</v>
      </c>
      <c r="F6" s="308">
        <v>0.2</v>
      </c>
      <c r="G6" s="303">
        <f>I6</f>
        <v>0.36</v>
      </c>
      <c r="H6" s="346" t="b">
        <f>F6='[3]Indicadores e Metas'!F7</f>
        <v>1</v>
      </c>
      <c r="I6" s="336">
        <f>O6/O7</f>
        <v>0.36</v>
      </c>
      <c r="K6" s="212" t="s">
        <v>654</v>
      </c>
      <c r="L6" s="212"/>
      <c r="M6" s="212"/>
      <c r="N6" s="212"/>
      <c r="O6" s="212">
        <v>27</v>
      </c>
      <c r="R6" s="87" t="s">
        <v>668</v>
      </c>
      <c r="S6" s="172"/>
    </row>
    <row r="7" spans="1:28" s="87" customFormat="1" ht="30.75" customHeight="1">
      <c r="A7" s="300"/>
      <c r="B7" s="94" t="s">
        <v>127</v>
      </c>
      <c r="C7" s="302"/>
      <c r="D7" s="307"/>
      <c r="E7" s="291"/>
      <c r="F7" s="308"/>
      <c r="G7" s="303"/>
      <c r="H7" s="346"/>
      <c r="I7" s="336"/>
      <c r="K7" s="212" t="s">
        <v>653</v>
      </c>
      <c r="L7" s="212"/>
      <c r="M7" s="212"/>
      <c r="N7" s="212"/>
      <c r="O7" s="212">
        <v>75</v>
      </c>
      <c r="R7" s="217"/>
      <c r="S7" s="218"/>
      <c r="T7" s="217"/>
      <c r="U7" s="217"/>
      <c r="V7" s="217"/>
      <c r="W7" s="217"/>
      <c r="X7" s="217"/>
      <c r="Y7" s="217"/>
      <c r="Z7" s="217"/>
      <c r="AA7" s="217"/>
      <c r="AB7" s="217"/>
    </row>
    <row r="8" spans="1:28" s="87" customFormat="1" ht="24" customHeight="1">
      <c r="A8" s="95"/>
      <c r="B8" s="96"/>
      <c r="C8" s="96"/>
      <c r="D8" s="96"/>
      <c r="E8" s="96"/>
      <c r="F8" s="96"/>
      <c r="G8" s="97"/>
      <c r="H8" s="114"/>
      <c r="I8" s="114"/>
      <c r="J8" s="86"/>
      <c r="K8" s="86"/>
      <c r="L8" s="86"/>
      <c r="M8" s="86"/>
      <c r="N8" s="86"/>
      <c r="O8" s="86"/>
      <c r="P8" s="86"/>
      <c r="Q8" s="86"/>
      <c r="R8" s="86"/>
      <c r="S8" s="86"/>
    </row>
    <row r="9" spans="1:28" s="87" customFormat="1" ht="45" customHeight="1">
      <c r="A9" s="304" t="s">
        <v>40</v>
      </c>
      <c r="B9" s="304"/>
      <c r="C9" s="304"/>
      <c r="D9" s="304"/>
      <c r="E9" s="304"/>
      <c r="F9" s="304"/>
      <c r="G9" s="304"/>
      <c r="H9" s="114"/>
      <c r="I9" s="114"/>
      <c r="J9" s="86"/>
      <c r="K9" s="86"/>
      <c r="L9" s="86"/>
      <c r="M9" s="86"/>
      <c r="N9" s="86"/>
      <c r="O9" s="86"/>
      <c r="P9" s="86"/>
      <c r="Q9" s="86"/>
      <c r="R9" s="86"/>
      <c r="S9" s="86"/>
    </row>
    <row r="10" spans="1:28" s="87" customFormat="1" ht="45" customHeight="1">
      <c r="A10" s="98" t="s">
        <v>15</v>
      </c>
      <c r="B10" s="305" t="s">
        <v>39</v>
      </c>
      <c r="C10" s="305"/>
      <c r="D10" s="171" t="s">
        <v>348</v>
      </c>
      <c r="E10" s="171" t="s">
        <v>347</v>
      </c>
      <c r="F10" s="166" t="s">
        <v>346</v>
      </c>
      <c r="G10" s="166" t="s">
        <v>345</v>
      </c>
      <c r="H10" s="114"/>
      <c r="I10" s="114"/>
      <c r="J10" s="86"/>
      <c r="K10" s="86"/>
      <c r="L10" s="86"/>
      <c r="M10" s="86"/>
      <c r="N10" s="86"/>
      <c r="O10" s="86"/>
      <c r="P10" s="86"/>
      <c r="Q10" s="86"/>
      <c r="R10" s="86"/>
      <c r="S10" s="86"/>
    </row>
    <row r="11" spans="1:28" s="87" customFormat="1" ht="47.4" customHeight="1">
      <c r="A11" s="284" t="s">
        <v>192</v>
      </c>
      <c r="B11" s="99" t="s">
        <v>128</v>
      </c>
      <c r="C11" s="290" t="s">
        <v>55</v>
      </c>
      <c r="D11" s="291">
        <v>1</v>
      </c>
      <c r="E11" s="291">
        <v>1.01</v>
      </c>
      <c r="F11" s="308">
        <v>1</v>
      </c>
      <c r="G11" s="292">
        <f>486/300</f>
        <v>1.62</v>
      </c>
      <c r="H11" s="281" t="b">
        <f>F11='[3]Indicadores e Metas'!F12</f>
        <v>1</v>
      </c>
      <c r="I11" s="281"/>
      <c r="J11" s="86"/>
      <c r="K11" s="86" t="s">
        <v>677</v>
      </c>
      <c r="L11" s="86"/>
      <c r="M11" s="86"/>
      <c r="N11" s="86"/>
      <c r="O11" s="86"/>
      <c r="P11" s="86"/>
      <c r="Q11" s="86"/>
      <c r="R11" s="270" t="s">
        <v>665</v>
      </c>
      <c r="S11" s="270"/>
      <c r="T11" s="270"/>
      <c r="U11" s="270"/>
      <c r="V11" s="270"/>
      <c r="W11" s="270"/>
      <c r="X11" s="270"/>
      <c r="Y11" s="270"/>
      <c r="Z11" s="270"/>
      <c r="AA11" s="270"/>
      <c r="AB11" s="270"/>
    </row>
    <row r="12" spans="1:28" s="87" customFormat="1" ht="34.5" customHeight="1">
      <c r="A12" s="284"/>
      <c r="B12" s="100" t="s">
        <v>129</v>
      </c>
      <c r="C12" s="290"/>
      <c r="D12" s="291"/>
      <c r="E12" s="291"/>
      <c r="F12" s="308"/>
      <c r="G12" s="292"/>
      <c r="H12" s="281"/>
      <c r="I12" s="281"/>
      <c r="J12" s="86"/>
      <c r="K12" s="86"/>
      <c r="L12" s="86"/>
      <c r="M12" s="86"/>
      <c r="N12" s="86"/>
      <c r="O12" s="86"/>
      <c r="P12" s="86"/>
      <c r="Q12" s="86"/>
      <c r="R12" s="219"/>
      <c r="S12" s="219"/>
      <c r="T12" s="217"/>
      <c r="U12" s="217"/>
      <c r="V12" s="217"/>
      <c r="W12" s="217"/>
      <c r="X12" s="217"/>
      <c r="Y12" s="217"/>
      <c r="Z12" s="217"/>
      <c r="AA12" s="217"/>
      <c r="AB12" s="217"/>
    </row>
    <row r="13" spans="1:28" s="87" customFormat="1" ht="34.5" customHeight="1">
      <c r="A13" s="284" t="s">
        <v>193</v>
      </c>
      <c r="B13" s="99" t="s">
        <v>130</v>
      </c>
      <c r="C13" s="290" t="s">
        <v>55</v>
      </c>
      <c r="D13" s="291">
        <v>0.56999999999999995</v>
      </c>
      <c r="E13" s="291">
        <v>0.63</v>
      </c>
      <c r="F13" s="308">
        <v>0.6</v>
      </c>
      <c r="G13" s="292">
        <f>293/425</f>
        <v>0.68941176470588239</v>
      </c>
      <c r="H13" s="281" t="b">
        <f>F13='[3]Indicadores e Metas'!F14</f>
        <v>1</v>
      </c>
      <c r="I13" s="281"/>
      <c r="J13" s="86"/>
      <c r="K13" s="86" t="s">
        <v>677</v>
      </c>
      <c r="L13" s="86"/>
      <c r="M13" s="86"/>
      <c r="N13" s="86"/>
      <c r="O13" s="86"/>
      <c r="P13" s="86"/>
      <c r="Q13" s="86"/>
      <c r="R13" s="86"/>
      <c r="S13" s="86"/>
    </row>
    <row r="14" spans="1:28" s="87" customFormat="1" ht="66" customHeight="1">
      <c r="A14" s="284"/>
      <c r="B14" s="100" t="s">
        <v>131</v>
      </c>
      <c r="C14" s="290"/>
      <c r="D14" s="291"/>
      <c r="E14" s="291"/>
      <c r="F14" s="308"/>
      <c r="G14" s="292"/>
      <c r="H14" s="281"/>
      <c r="I14" s="281"/>
      <c r="J14" s="86"/>
      <c r="K14" s="86" t="s">
        <v>652</v>
      </c>
      <c r="L14" s="86"/>
      <c r="M14" s="86"/>
      <c r="N14" s="86"/>
      <c r="O14" s="86"/>
      <c r="P14" s="86"/>
      <c r="Q14" s="86"/>
      <c r="R14" s="270" t="s">
        <v>666</v>
      </c>
      <c r="S14" s="270"/>
      <c r="T14" s="270"/>
      <c r="U14" s="270"/>
      <c r="V14" s="270"/>
      <c r="W14" s="270"/>
      <c r="X14" s="270"/>
      <c r="Y14" s="270"/>
      <c r="Z14" s="270"/>
      <c r="AA14" s="270"/>
      <c r="AB14" s="270"/>
    </row>
    <row r="15" spans="1:28" s="87" customFormat="1" ht="34.5" customHeight="1">
      <c r="A15" s="284" t="s">
        <v>194</v>
      </c>
      <c r="B15" s="285" t="s">
        <v>132</v>
      </c>
      <c r="C15" s="285"/>
      <c r="D15" s="286">
        <v>0.54</v>
      </c>
      <c r="E15" s="286">
        <v>0.39</v>
      </c>
      <c r="F15" s="289">
        <v>0.36</v>
      </c>
      <c r="G15" s="287">
        <f>I15</f>
        <v>0.47398165920238861</v>
      </c>
      <c r="H15" s="281" t="b">
        <f>F15='[3]Indicadores e Metas'!F16</f>
        <v>1</v>
      </c>
      <c r="I15" s="277">
        <f>(L15/12)/L16</f>
        <v>0.47398165920238861</v>
      </c>
      <c r="J15" s="86"/>
      <c r="K15" s="212" t="s">
        <v>305</v>
      </c>
      <c r="L15" s="212">
        <v>8890</v>
      </c>
      <c r="Q15" s="86"/>
      <c r="R15" s="86" t="s">
        <v>669</v>
      </c>
      <c r="S15" s="86"/>
    </row>
    <row r="16" spans="1:28" s="87" customFormat="1" ht="34.5" customHeight="1">
      <c r="A16" s="284"/>
      <c r="B16" s="288" t="s">
        <v>133</v>
      </c>
      <c r="C16" s="288"/>
      <c r="D16" s="286"/>
      <c r="E16" s="286"/>
      <c r="F16" s="289"/>
      <c r="G16" s="287"/>
      <c r="H16" s="281"/>
      <c r="I16" s="277"/>
      <c r="J16" s="86"/>
      <c r="K16" s="212" t="s">
        <v>651</v>
      </c>
      <c r="L16" s="212">
        <v>1563</v>
      </c>
      <c r="M16" s="86"/>
      <c r="N16" s="86"/>
      <c r="O16" s="86"/>
      <c r="P16" s="86"/>
      <c r="Q16" s="86"/>
      <c r="R16" s="219"/>
      <c r="S16" s="219"/>
      <c r="T16" s="217"/>
      <c r="U16" s="217"/>
      <c r="V16" s="217"/>
      <c r="W16" s="217"/>
      <c r="X16" s="217"/>
      <c r="Y16" s="217"/>
      <c r="Z16" s="217"/>
      <c r="AA16" s="217"/>
      <c r="AB16" s="217"/>
    </row>
    <row r="17" spans="1:28" s="87" customFormat="1" ht="34.5" customHeight="1">
      <c r="A17" s="284" t="s">
        <v>195</v>
      </c>
      <c r="B17" s="99" t="s">
        <v>134</v>
      </c>
      <c r="C17" s="290" t="s">
        <v>55</v>
      </c>
      <c r="D17" s="291">
        <v>1</v>
      </c>
      <c r="E17" s="291">
        <v>1</v>
      </c>
      <c r="F17" s="308">
        <v>1</v>
      </c>
      <c r="G17" s="292">
        <f>40/40</f>
        <v>1</v>
      </c>
      <c r="H17" s="281" t="b">
        <f>F17='[3]Indicadores e Metas'!F18</f>
        <v>1</v>
      </c>
      <c r="I17" s="281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1:28" s="87" customFormat="1" ht="34.5" customHeight="1">
      <c r="A18" s="284"/>
      <c r="B18" s="100" t="s">
        <v>135</v>
      </c>
      <c r="C18" s="290"/>
      <c r="D18" s="291"/>
      <c r="E18" s="291"/>
      <c r="F18" s="308"/>
      <c r="G18" s="292"/>
      <c r="H18" s="281"/>
      <c r="I18" s="281"/>
      <c r="J18" s="86"/>
      <c r="K18" s="86" t="s">
        <v>677</v>
      </c>
      <c r="L18" s="86"/>
      <c r="M18" s="86"/>
      <c r="N18" s="86"/>
      <c r="O18" s="86"/>
      <c r="P18" s="86"/>
      <c r="Q18" s="86"/>
      <c r="R18" s="274" t="s">
        <v>670</v>
      </c>
      <c r="S18" s="275"/>
      <c r="T18" s="275"/>
      <c r="U18" s="275"/>
      <c r="V18" s="275"/>
      <c r="W18" s="275"/>
      <c r="X18" s="275"/>
      <c r="Y18" s="275"/>
      <c r="Z18" s="275"/>
      <c r="AA18" s="275"/>
      <c r="AB18" s="275"/>
    </row>
    <row r="19" spans="1:28" s="87" customFormat="1" ht="34.5" customHeight="1">
      <c r="A19" s="284" t="s">
        <v>196</v>
      </c>
      <c r="B19" s="99" t="s">
        <v>136</v>
      </c>
      <c r="C19" s="290" t="s">
        <v>55</v>
      </c>
      <c r="D19" s="286" t="s">
        <v>645</v>
      </c>
      <c r="E19" s="286" t="s">
        <v>645</v>
      </c>
      <c r="F19" s="308">
        <v>0.7</v>
      </c>
      <c r="G19" s="292">
        <f>410/486</f>
        <v>0.84362139917695478</v>
      </c>
      <c r="H19" s="281" t="b">
        <f>F19='[3]Indicadores e Metas'!F20</f>
        <v>1</v>
      </c>
      <c r="I19" s="281"/>
      <c r="J19" s="86"/>
      <c r="K19" s="86"/>
      <c r="L19" s="86"/>
      <c r="M19" s="86"/>
      <c r="N19" s="86"/>
      <c r="O19" s="86"/>
      <c r="P19" s="86"/>
      <c r="Q19" s="86"/>
      <c r="R19" s="274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</row>
    <row r="20" spans="1:28" s="87" customFormat="1" ht="34.5" customHeight="1">
      <c r="A20" s="284"/>
      <c r="B20" s="100" t="s">
        <v>137</v>
      </c>
      <c r="C20" s="290"/>
      <c r="D20" s="286"/>
      <c r="E20" s="286"/>
      <c r="F20" s="308"/>
      <c r="G20" s="292"/>
      <c r="H20" s="281"/>
      <c r="I20" s="281"/>
      <c r="K20" s="86" t="s">
        <v>677</v>
      </c>
      <c r="L20" s="86"/>
      <c r="M20" s="86"/>
      <c r="N20" s="86"/>
      <c r="O20" s="86"/>
      <c r="P20" s="86"/>
      <c r="Q20" s="86"/>
      <c r="R20" s="274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</row>
    <row r="21" spans="1:28" s="87" customFormat="1" ht="34.5" customHeight="1">
      <c r="A21" s="284" t="s">
        <v>197</v>
      </c>
      <c r="B21" s="99" t="s">
        <v>138</v>
      </c>
      <c r="C21" s="290" t="s">
        <v>55</v>
      </c>
      <c r="D21" s="286" t="s">
        <v>645</v>
      </c>
      <c r="E21" s="286" t="s">
        <v>645</v>
      </c>
      <c r="F21" s="308">
        <v>0.5</v>
      </c>
      <c r="G21" s="292">
        <f>0/1</f>
        <v>0</v>
      </c>
      <c r="H21" s="281" t="b">
        <f>F21='[3]Indicadores e Metas'!F22</f>
        <v>1</v>
      </c>
      <c r="I21" s="281"/>
      <c r="J21" s="86"/>
      <c r="K21" s="86"/>
      <c r="L21" s="86"/>
      <c r="M21" s="86"/>
      <c r="N21" s="86"/>
      <c r="O21" s="86"/>
      <c r="P21" s="86"/>
      <c r="Q21" s="86"/>
      <c r="R21" s="274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</row>
    <row r="22" spans="1:28" s="87" customFormat="1" ht="34.5" customHeight="1">
      <c r="A22" s="284"/>
      <c r="B22" s="100" t="s">
        <v>139</v>
      </c>
      <c r="C22" s="290"/>
      <c r="D22" s="286"/>
      <c r="E22" s="286"/>
      <c r="F22" s="308"/>
      <c r="G22" s="292"/>
      <c r="H22" s="281"/>
      <c r="I22" s="281"/>
      <c r="J22" s="86"/>
      <c r="K22" s="86" t="s">
        <v>677</v>
      </c>
      <c r="L22" s="86"/>
      <c r="M22" s="86"/>
      <c r="N22" s="86"/>
      <c r="O22" s="86"/>
      <c r="P22" s="86"/>
      <c r="Q22" s="86"/>
      <c r="R22" s="274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</row>
    <row r="23" spans="1:28" s="87" customFormat="1" ht="34.5" customHeight="1">
      <c r="A23" s="284" t="s">
        <v>198</v>
      </c>
      <c r="B23" s="99" t="s">
        <v>140</v>
      </c>
      <c r="C23" s="290" t="s">
        <v>55</v>
      </c>
      <c r="D23" s="286" t="s">
        <v>645</v>
      </c>
      <c r="E23" s="286" t="s">
        <v>645</v>
      </c>
      <c r="F23" s="308">
        <v>0.2</v>
      </c>
      <c r="G23" s="292">
        <f>486/1254</f>
        <v>0.38755980861244022</v>
      </c>
      <c r="H23" s="281" t="b">
        <f>F23='[3]Indicadores e Metas'!F24</f>
        <v>1</v>
      </c>
      <c r="I23" s="281"/>
      <c r="J23" s="86"/>
      <c r="K23" s="86"/>
      <c r="L23" s="86"/>
      <c r="M23" s="86"/>
      <c r="N23" s="86"/>
      <c r="O23" s="86"/>
      <c r="P23" s="86"/>
      <c r="Q23" s="86"/>
      <c r="R23" s="274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</row>
    <row r="24" spans="1:28" s="87" customFormat="1" ht="34.5" customHeight="1">
      <c r="A24" s="284"/>
      <c r="B24" s="100" t="s">
        <v>141</v>
      </c>
      <c r="C24" s="290"/>
      <c r="D24" s="286"/>
      <c r="E24" s="286"/>
      <c r="F24" s="308"/>
      <c r="G24" s="292"/>
      <c r="H24" s="281"/>
      <c r="I24" s="281"/>
      <c r="J24" s="86"/>
      <c r="K24" s="86" t="s">
        <v>677</v>
      </c>
      <c r="L24" s="86"/>
      <c r="M24" s="86"/>
      <c r="N24" s="86"/>
      <c r="O24" s="86"/>
      <c r="P24" s="86"/>
      <c r="Q24" s="86"/>
      <c r="R24" s="274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</row>
    <row r="25" spans="1:28" s="87" customFormat="1" ht="34.5" customHeight="1">
      <c r="A25" s="284" t="s">
        <v>199</v>
      </c>
      <c r="B25" s="99" t="s">
        <v>142</v>
      </c>
      <c r="C25" s="290" t="s">
        <v>55</v>
      </c>
      <c r="D25" s="286" t="s">
        <v>645</v>
      </c>
      <c r="E25" s="286" t="s">
        <v>645</v>
      </c>
      <c r="F25" s="308">
        <v>0.9</v>
      </c>
      <c r="G25" s="292">
        <f>211/293</f>
        <v>0.72013651877133111</v>
      </c>
      <c r="H25" s="281" t="b">
        <f>F25='[3]Indicadores e Metas'!F26</f>
        <v>1</v>
      </c>
      <c r="I25" s="281"/>
      <c r="J25" s="86"/>
      <c r="L25" s="86"/>
      <c r="M25" s="86"/>
      <c r="N25" s="86"/>
      <c r="O25" s="86"/>
      <c r="P25" s="86"/>
      <c r="Q25" s="86"/>
      <c r="R25" s="274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</row>
    <row r="26" spans="1:28" s="87" customFormat="1" ht="34.5" customHeight="1">
      <c r="A26" s="284"/>
      <c r="B26" s="100" t="s">
        <v>130</v>
      </c>
      <c r="C26" s="290"/>
      <c r="D26" s="286"/>
      <c r="E26" s="286"/>
      <c r="F26" s="308"/>
      <c r="G26" s="292"/>
      <c r="H26" s="281"/>
      <c r="I26" s="281"/>
      <c r="J26" s="86"/>
      <c r="K26" s="86" t="s">
        <v>677</v>
      </c>
      <c r="L26" s="86"/>
      <c r="M26" s="86"/>
      <c r="N26" s="86"/>
      <c r="O26" s="86"/>
      <c r="P26" s="86"/>
      <c r="Q26" s="86"/>
      <c r="R26" s="274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</row>
    <row r="27" spans="1:28" s="87" customFormat="1" ht="34.5" customHeight="1">
      <c r="A27" s="284" t="s">
        <v>200</v>
      </c>
      <c r="B27" s="99" t="s">
        <v>143</v>
      </c>
      <c r="C27" s="290" t="s">
        <v>55</v>
      </c>
      <c r="D27" s="286" t="s">
        <v>645</v>
      </c>
      <c r="E27" s="286" t="s">
        <v>645</v>
      </c>
      <c r="F27" s="308">
        <v>0.2</v>
      </c>
      <c r="G27" s="292">
        <f>96/425</f>
        <v>0.22588235294117648</v>
      </c>
      <c r="H27" s="281" t="b">
        <f>F27='[3]Indicadores e Metas'!F28</f>
        <v>1</v>
      </c>
      <c r="I27" s="281"/>
      <c r="J27" s="86"/>
      <c r="K27" s="86"/>
      <c r="L27" s="86"/>
      <c r="M27" s="86"/>
      <c r="N27" s="86"/>
      <c r="O27" s="86"/>
      <c r="P27" s="86"/>
      <c r="Q27" s="86"/>
      <c r="R27" s="274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</row>
    <row r="28" spans="1:28" s="87" customFormat="1" ht="34.5" customHeight="1">
      <c r="A28" s="284"/>
      <c r="B28" s="100" t="s">
        <v>131</v>
      </c>
      <c r="C28" s="290"/>
      <c r="D28" s="286"/>
      <c r="E28" s="286"/>
      <c r="F28" s="308"/>
      <c r="G28" s="292"/>
      <c r="H28" s="281"/>
      <c r="I28" s="281"/>
      <c r="J28" s="86"/>
      <c r="K28" s="86" t="s">
        <v>677</v>
      </c>
      <c r="L28" s="86"/>
      <c r="M28" s="86"/>
      <c r="N28" s="86"/>
      <c r="O28" s="86"/>
      <c r="P28" s="86"/>
      <c r="Q28" s="86"/>
      <c r="R28" s="274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</row>
    <row r="29" spans="1:28" s="87" customFormat="1" ht="34.5" customHeight="1">
      <c r="A29" s="284" t="s">
        <v>201</v>
      </c>
      <c r="B29" s="99" t="s">
        <v>144</v>
      </c>
      <c r="C29" s="290" t="s">
        <v>55</v>
      </c>
      <c r="D29" s="286" t="s">
        <v>645</v>
      </c>
      <c r="E29" s="286" t="s">
        <v>645</v>
      </c>
      <c r="F29" s="308">
        <v>0.9</v>
      </c>
      <c r="G29" s="292">
        <f>65/96</f>
        <v>0.67708333333333337</v>
      </c>
      <c r="H29" s="281" t="b">
        <f>F29='[3]Indicadores e Metas'!F30</f>
        <v>1</v>
      </c>
      <c r="I29" s="281"/>
      <c r="J29" s="86"/>
      <c r="K29" s="86"/>
      <c r="L29" s="86"/>
      <c r="M29" s="86"/>
      <c r="N29" s="86"/>
      <c r="O29" s="86"/>
      <c r="P29" s="86"/>
      <c r="Q29" s="86"/>
      <c r="R29" s="274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</row>
    <row r="30" spans="1:28" s="87" customFormat="1" ht="34.5" customHeight="1">
      <c r="A30" s="284"/>
      <c r="B30" s="100" t="s">
        <v>145</v>
      </c>
      <c r="C30" s="290"/>
      <c r="D30" s="286"/>
      <c r="E30" s="286"/>
      <c r="F30" s="308"/>
      <c r="G30" s="292"/>
      <c r="H30" s="281"/>
      <c r="I30" s="281"/>
      <c r="J30" s="86"/>
      <c r="K30" s="86" t="s">
        <v>677</v>
      </c>
      <c r="L30" s="86"/>
      <c r="M30" s="86"/>
      <c r="N30" s="86"/>
      <c r="O30" s="86"/>
      <c r="P30" s="86"/>
      <c r="Q30" s="86"/>
      <c r="R30" s="274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</row>
    <row r="31" spans="1:28" s="87" customFormat="1" ht="45" customHeight="1">
      <c r="A31" s="98" t="s">
        <v>16</v>
      </c>
      <c r="B31" s="305" t="s">
        <v>39</v>
      </c>
      <c r="C31" s="305"/>
      <c r="D31" s="171" t="s">
        <v>348</v>
      </c>
      <c r="E31" s="171" t="s">
        <v>347</v>
      </c>
      <c r="F31" s="166" t="s">
        <v>346</v>
      </c>
      <c r="G31" s="166" t="s">
        <v>345</v>
      </c>
      <c r="H31" s="115"/>
      <c r="I31" s="115"/>
      <c r="J31" s="86"/>
      <c r="K31" s="86"/>
      <c r="L31" s="86"/>
      <c r="M31" s="86"/>
      <c r="N31" s="86"/>
      <c r="O31" s="86"/>
      <c r="P31" s="86"/>
      <c r="Q31" s="86"/>
      <c r="R31" s="274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</row>
    <row r="32" spans="1:28" s="87" customFormat="1" ht="34.5" customHeight="1">
      <c r="A32" s="284" t="s">
        <v>202</v>
      </c>
      <c r="B32" s="99" t="s">
        <v>187</v>
      </c>
      <c r="C32" s="290" t="s">
        <v>55</v>
      </c>
      <c r="D32" s="291">
        <v>1</v>
      </c>
      <c r="E32" s="286" t="s">
        <v>644</v>
      </c>
      <c r="F32" s="308">
        <v>0.8</v>
      </c>
      <c r="G32" s="292">
        <v>1</v>
      </c>
      <c r="H32" s="281" t="b">
        <f>F32='[3]Indicadores e Metas'!F33</f>
        <v>1</v>
      </c>
      <c r="I32" s="281"/>
      <c r="J32" s="86"/>
      <c r="K32" s="86" t="s">
        <v>677</v>
      </c>
      <c r="L32" s="86"/>
      <c r="M32" s="86"/>
      <c r="N32" s="86"/>
      <c r="O32" s="86"/>
      <c r="P32" s="86"/>
      <c r="Q32" s="86"/>
      <c r="R32" s="274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</row>
    <row r="33" spans="1:28" s="87" customFormat="1" ht="34.5" customHeight="1">
      <c r="A33" s="284"/>
      <c r="B33" s="100" t="s">
        <v>188</v>
      </c>
      <c r="C33" s="290"/>
      <c r="D33" s="291"/>
      <c r="E33" s="286"/>
      <c r="F33" s="308"/>
      <c r="G33" s="292"/>
      <c r="H33" s="281"/>
      <c r="I33" s="281"/>
      <c r="J33" s="86"/>
      <c r="K33" s="86"/>
      <c r="L33" s="86"/>
      <c r="M33" s="86"/>
      <c r="N33" s="86"/>
      <c r="O33" s="86"/>
      <c r="P33" s="86"/>
      <c r="Q33" s="86"/>
      <c r="R33" s="274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</row>
    <row r="34" spans="1:28" s="87" customFormat="1" ht="34.5" customHeight="1">
      <c r="A34" s="284" t="s">
        <v>203</v>
      </c>
      <c r="B34" s="99" t="s">
        <v>56</v>
      </c>
      <c r="C34" s="290" t="s">
        <v>55</v>
      </c>
      <c r="D34" s="291">
        <v>0.86</v>
      </c>
      <c r="E34" s="286" t="s">
        <v>644</v>
      </c>
      <c r="F34" s="308">
        <v>0.8</v>
      </c>
      <c r="G34" s="292">
        <f>30/32</f>
        <v>0.9375</v>
      </c>
      <c r="H34" s="281" t="b">
        <f>F34='[3]Indicadores e Metas'!F35</f>
        <v>1</v>
      </c>
      <c r="I34" s="281"/>
      <c r="J34" s="86"/>
      <c r="K34" s="86"/>
      <c r="L34" s="86"/>
      <c r="M34" s="86"/>
      <c r="N34" s="86"/>
      <c r="O34" s="86"/>
      <c r="P34" s="86"/>
      <c r="Q34" s="86"/>
      <c r="R34" s="274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</row>
    <row r="35" spans="1:28" s="87" customFormat="1" ht="34.5" customHeight="1">
      <c r="A35" s="284"/>
      <c r="B35" s="100" t="s">
        <v>57</v>
      </c>
      <c r="C35" s="290"/>
      <c r="D35" s="291"/>
      <c r="E35" s="286"/>
      <c r="F35" s="308"/>
      <c r="G35" s="292"/>
      <c r="H35" s="281"/>
      <c r="I35" s="281"/>
      <c r="J35" s="86"/>
      <c r="K35" s="86" t="s">
        <v>677</v>
      </c>
      <c r="L35" s="86"/>
      <c r="M35" s="86"/>
      <c r="N35" s="86"/>
      <c r="O35" s="86"/>
      <c r="P35" s="86"/>
      <c r="Q35" s="86"/>
      <c r="R35" s="274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</row>
    <row r="36" spans="1:28" s="87" customFormat="1" ht="34.5" customHeight="1">
      <c r="A36" s="284" t="s">
        <v>204</v>
      </c>
      <c r="B36" s="99" t="s">
        <v>146</v>
      </c>
      <c r="C36" s="290" t="s">
        <v>55</v>
      </c>
      <c r="D36" s="286" t="s">
        <v>645</v>
      </c>
      <c r="E36" s="286" t="s">
        <v>644</v>
      </c>
      <c r="F36" s="308">
        <v>0.3</v>
      </c>
      <c r="G36" s="292">
        <f>41/617</f>
        <v>6.6450567260940036E-2</v>
      </c>
      <c r="H36" s="281" t="b">
        <f>F36='[3]Indicadores e Metas'!F37</f>
        <v>1</v>
      </c>
      <c r="I36" s="281"/>
      <c r="J36" s="86"/>
      <c r="K36" s="86"/>
      <c r="L36" s="86"/>
      <c r="M36" s="86"/>
      <c r="N36" s="86"/>
      <c r="O36" s="86"/>
      <c r="P36" s="86"/>
      <c r="Q36" s="86"/>
      <c r="R36" s="274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</row>
    <row r="37" spans="1:28" s="87" customFormat="1" ht="34.5" customHeight="1">
      <c r="A37" s="284"/>
      <c r="B37" s="100" t="s">
        <v>147</v>
      </c>
      <c r="C37" s="290"/>
      <c r="D37" s="286"/>
      <c r="E37" s="286"/>
      <c r="F37" s="308"/>
      <c r="G37" s="292"/>
      <c r="H37" s="281"/>
      <c r="I37" s="281"/>
      <c r="J37" s="86"/>
      <c r="K37" s="86" t="s">
        <v>677</v>
      </c>
      <c r="L37" s="86"/>
      <c r="M37" s="86"/>
      <c r="N37" s="86"/>
      <c r="O37" s="86"/>
      <c r="P37" s="86"/>
      <c r="Q37" s="86"/>
      <c r="R37" s="274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</row>
    <row r="38" spans="1:28" s="87" customFormat="1" ht="45" customHeight="1">
      <c r="A38" s="98" t="s">
        <v>17</v>
      </c>
      <c r="B38" s="305" t="s">
        <v>39</v>
      </c>
      <c r="C38" s="305"/>
      <c r="D38" s="171" t="s">
        <v>348</v>
      </c>
      <c r="E38" s="171" t="s">
        <v>347</v>
      </c>
      <c r="F38" s="166" t="s">
        <v>346</v>
      </c>
      <c r="G38" s="166" t="s">
        <v>345</v>
      </c>
      <c r="H38" s="115"/>
      <c r="I38" s="115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1:28" s="87" customFormat="1" ht="34.5" customHeight="1">
      <c r="A39" s="309" t="s">
        <v>205</v>
      </c>
      <c r="B39" s="101" t="s">
        <v>148</v>
      </c>
      <c r="C39" s="290" t="s">
        <v>55</v>
      </c>
      <c r="D39" s="291">
        <v>1</v>
      </c>
      <c r="E39" s="286" t="s">
        <v>645</v>
      </c>
      <c r="F39" s="310">
        <v>0</v>
      </c>
      <c r="G39" s="292">
        <v>0</v>
      </c>
      <c r="H39" s="281" t="b">
        <f>F39='[3]Indicadores e Metas'!F40</f>
        <v>1</v>
      </c>
      <c r="I39" s="281"/>
      <c r="K39" s="86" t="s">
        <v>656</v>
      </c>
      <c r="L39" s="86"/>
      <c r="M39" s="86"/>
      <c r="N39" s="86"/>
      <c r="O39" s="86"/>
      <c r="P39" s="86"/>
      <c r="Q39" s="86"/>
      <c r="R39" s="86"/>
      <c r="S39" s="86"/>
    </row>
    <row r="40" spans="1:28" s="87" customFormat="1" ht="34.5" customHeight="1">
      <c r="A40" s="309"/>
      <c r="B40" s="102" t="s">
        <v>149</v>
      </c>
      <c r="C40" s="290"/>
      <c r="D40" s="291"/>
      <c r="E40" s="286"/>
      <c r="F40" s="310"/>
      <c r="G40" s="292"/>
      <c r="H40" s="281"/>
      <c r="I40" s="281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1:28" s="87" customFormat="1" ht="34.5" customHeight="1">
      <c r="A41" s="309" t="s">
        <v>206</v>
      </c>
      <c r="B41" s="101" t="s">
        <v>150</v>
      </c>
      <c r="C41" s="290" t="s">
        <v>55</v>
      </c>
      <c r="D41" s="291" t="s">
        <v>645</v>
      </c>
      <c r="E41" s="286" t="s">
        <v>645</v>
      </c>
      <c r="F41" s="308">
        <v>0.8</v>
      </c>
      <c r="G41" s="292">
        <f>(499+98+50)/(400+100)</f>
        <v>1.294</v>
      </c>
      <c r="H41" s="281" t="b">
        <f>F41='[3]Indicadores e Metas'!F42</f>
        <v>1</v>
      </c>
      <c r="I41" s="281"/>
      <c r="J41" s="86"/>
      <c r="K41" s="86"/>
      <c r="L41" s="86"/>
      <c r="M41" s="86"/>
      <c r="N41" s="86"/>
      <c r="O41" s="86"/>
      <c r="P41" s="86"/>
      <c r="Q41" s="86"/>
      <c r="R41" s="223"/>
      <c r="S41" s="86"/>
    </row>
    <row r="42" spans="1:28" s="87" customFormat="1" ht="34.5" customHeight="1">
      <c r="A42" s="309"/>
      <c r="B42" s="102" t="s">
        <v>151</v>
      </c>
      <c r="C42" s="290"/>
      <c r="D42" s="291"/>
      <c r="E42" s="286"/>
      <c r="F42" s="308"/>
      <c r="G42" s="292"/>
      <c r="H42" s="281"/>
      <c r="I42" s="281"/>
      <c r="J42" s="86"/>
      <c r="K42" s="86" t="s">
        <v>677</v>
      </c>
      <c r="M42" s="86"/>
      <c r="N42" s="86"/>
      <c r="O42" s="86"/>
      <c r="P42" s="86"/>
      <c r="Q42" s="86"/>
      <c r="R42" s="223"/>
      <c r="S42" s="86"/>
    </row>
    <row r="43" spans="1:28" s="87" customFormat="1" ht="34.5" customHeight="1">
      <c r="A43" s="309" t="s">
        <v>207</v>
      </c>
      <c r="B43" s="311" t="s">
        <v>152</v>
      </c>
      <c r="C43" s="311"/>
      <c r="D43" s="291" t="s">
        <v>645</v>
      </c>
      <c r="E43" s="286" t="s">
        <v>645</v>
      </c>
      <c r="F43" s="289">
        <v>50</v>
      </c>
      <c r="G43" s="312">
        <f>16000/(499+98+50)</f>
        <v>24.729520865533232</v>
      </c>
      <c r="H43" s="281" t="b">
        <f>F43='[3]Indicadores e Metas'!F44</f>
        <v>1</v>
      </c>
      <c r="I43" s="279"/>
      <c r="J43" s="86"/>
      <c r="K43" s="86"/>
      <c r="L43" s="86"/>
      <c r="M43" s="86"/>
      <c r="N43" s="86"/>
      <c r="O43" s="86"/>
      <c r="P43" s="86"/>
      <c r="Q43" s="86"/>
      <c r="R43" s="223"/>
      <c r="S43" s="86"/>
    </row>
    <row r="44" spans="1:28" s="87" customFormat="1" ht="34.5" customHeight="1">
      <c r="A44" s="309"/>
      <c r="B44" s="313" t="s">
        <v>153</v>
      </c>
      <c r="C44" s="313"/>
      <c r="D44" s="291"/>
      <c r="E44" s="286"/>
      <c r="F44" s="289"/>
      <c r="G44" s="312"/>
      <c r="H44" s="281"/>
      <c r="I44" s="279"/>
      <c r="J44" s="86"/>
      <c r="K44" s="86" t="s">
        <v>677</v>
      </c>
      <c r="L44" s="86"/>
      <c r="M44" s="86"/>
      <c r="N44" s="86"/>
      <c r="O44" s="86"/>
      <c r="P44" s="86"/>
      <c r="Q44" s="86"/>
      <c r="R44" s="223"/>
      <c r="S44" s="86"/>
    </row>
    <row r="45" spans="1:28" s="87" customFormat="1" ht="34.5" customHeight="1">
      <c r="A45" s="309" t="s">
        <v>208</v>
      </c>
      <c r="B45" s="101" t="s">
        <v>154</v>
      </c>
      <c r="C45" s="314" t="s">
        <v>55</v>
      </c>
      <c r="D45" s="291" t="s">
        <v>645</v>
      </c>
      <c r="E45" s="286" t="s">
        <v>645</v>
      </c>
      <c r="F45" s="308">
        <v>1</v>
      </c>
      <c r="G45" s="315" t="s">
        <v>649</v>
      </c>
      <c r="H45" s="281" t="b">
        <f>F45='[3]Indicadores e Metas'!F46</f>
        <v>1</v>
      </c>
      <c r="I45" s="281"/>
      <c r="J45" s="86"/>
      <c r="K45" s="86"/>
      <c r="L45" s="86"/>
      <c r="M45" s="86"/>
      <c r="N45" s="86"/>
      <c r="O45" s="86"/>
      <c r="P45" s="86"/>
      <c r="Q45" s="86"/>
      <c r="R45" s="223"/>
      <c r="S45" s="86"/>
    </row>
    <row r="46" spans="1:28" ht="34.5" customHeight="1">
      <c r="A46" s="309"/>
      <c r="B46" s="102" t="s">
        <v>155</v>
      </c>
      <c r="C46" s="314"/>
      <c r="D46" s="291"/>
      <c r="E46" s="286"/>
      <c r="F46" s="308"/>
      <c r="G46" s="315"/>
      <c r="H46" s="281"/>
      <c r="I46" s="281"/>
      <c r="R46" s="223"/>
    </row>
    <row r="47" spans="1:28" s="87" customFormat="1" ht="45" customHeight="1">
      <c r="A47" s="98" t="s">
        <v>18</v>
      </c>
      <c r="B47" s="305" t="s">
        <v>39</v>
      </c>
      <c r="C47" s="305"/>
      <c r="D47" s="171" t="s">
        <v>348</v>
      </c>
      <c r="E47" s="171" t="s">
        <v>347</v>
      </c>
      <c r="F47" s="166" t="s">
        <v>346</v>
      </c>
      <c r="G47" s="166" t="s">
        <v>345</v>
      </c>
      <c r="H47" s="115"/>
      <c r="I47" s="115"/>
      <c r="J47" s="86"/>
      <c r="K47" s="86"/>
      <c r="L47" s="86"/>
      <c r="M47" s="86"/>
      <c r="N47" s="86"/>
      <c r="O47" s="86"/>
      <c r="P47" s="86"/>
      <c r="Q47" s="86"/>
      <c r="R47" s="223"/>
      <c r="S47" s="86"/>
    </row>
    <row r="48" spans="1:28" ht="53.25" customHeight="1">
      <c r="A48" s="103" t="s">
        <v>209</v>
      </c>
      <c r="B48" s="316" t="s">
        <v>156</v>
      </c>
      <c r="C48" s="316"/>
      <c r="D48" s="211" t="s">
        <v>644</v>
      </c>
      <c r="E48" s="209" t="s">
        <v>644</v>
      </c>
      <c r="F48" s="165">
        <v>1</v>
      </c>
      <c r="G48" s="165">
        <v>0</v>
      </c>
      <c r="H48" s="116" t="b">
        <f>F48='[3]Indicadores e Metas'!$F$49</f>
        <v>1</v>
      </c>
      <c r="I48" s="117"/>
      <c r="K48" s="86" t="s">
        <v>656</v>
      </c>
      <c r="R48" s="223"/>
    </row>
    <row r="49" spans="1:28" s="87" customFormat="1" ht="45" customHeight="1">
      <c r="A49" s="98" t="s">
        <v>19</v>
      </c>
      <c r="B49" s="305" t="s">
        <v>39</v>
      </c>
      <c r="C49" s="305"/>
      <c r="D49" s="171" t="s">
        <v>348</v>
      </c>
      <c r="E49" s="171" t="s">
        <v>347</v>
      </c>
      <c r="F49" s="166" t="s">
        <v>346</v>
      </c>
      <c r="G49" s="166" t="s">
        <v>345</v>
      </c>
      <c r="H49" s="115"/>
      <c r="I49" s="115"/>
      <c r="J49" s="86"/>
      <c r="K49" s="86"/>
      <c r="L49" s="86"/>
      <c r="M49" s="86"/>
      <c r="N49" s="86"/>
      <c r="O49" s="86"/>
      <c r="P49" s="86"/>
      <c r="Q49" s="86"/>
      <c r="R49" s="223"/>
      <c r="S49" s="86"/>
    </row>
    <row r="50" spans="1:28" ht="34.5" customHeight="1">
      <c r="A50" s="309" t="s">
        <v>210</v>
      </c>
      <c r="B50" s="101" t="s">
        <v>157</v>
      </c>
      <c r="C50" s="314" t="s">
        <v>55</v>
      </c>
      <c r="D50" s="286" t="s">
        <v>644</v>
      </c>
      <c r="E50" s="286" t="s">
        <v>645</v>
      </c>
      <c r="F50" s="308">
        <v>0</v>
      </c>
      <c r="G50" s="292">
        <v>0</v>
      </c>
      <c r="H50" s="281" t="b">
        <f>F50='[3]Indicadores e Metas'!F51</f>
        <v>1</v>
      </c>
      <c r="I50" s="281"/>
      <c r="R50" s="223"/>
    </row>
    <row r="51" spans="1:28" ht="34.5" customHeight="1">
      <c r="A51" s="309"/>
      <c r="B51" s="102" t="s">
        <v>127</v>
      </c>
      <c r="C51" s="314"/>
      <c r="D51" s="286"/>
      <c r="E51" s="286"/>
      <c r="F51" s="308"/>
      <c r="G51" s="292"/>
      <c r="H51" s="281"/>
      <c r="I51" s="281"/>
      <c r="R51" s="223"/>
    </row>
    <row r="52" spans="1:28" ht="34.5" customHeight="1">
      <c r="A52" s="309" t="s">
        <v>211</v>
      </c>
      <c r="B52" s="101" t="s">
        <v>156</v>
      </c>
      <c r="C52" s="314" t="s">
        <v>55</v>
      </c>
      <c r="D52" s="286" t="s">
        <v>644</v>
      </c>
      <c r="E52" s="286" t="s">
        <v>645</v>
      </c>
      <c r="F52" s="308">
        <v>0.02</v>
      </c>
      <c r="G52" s="292">
        <f>1/75</f>
        <v>1.3333333333333334E-2</v>
      </c>
      <c r="H52" s="281" t="b">
        <f>F52='[3]Indicadores e Metas'!F53</f>
        <v>1</v>
      </c>
      <c r="I52" s="281"/>
      <c r="K52" s="86" t="s">
        <v>677</v>
      </c>
    </row>
    <row r="53" spans="1:28" ht="34.5" customHeight="1">
      <c r="A53" s="309"/>
      <c r="B53" s="102" t="s">
        <v>127</v>
      </c>
      <c r="C53" s="314"/>
      <c r="D53" s="286"/>
      <c r="E53" s="286"/>
      <c r="F53" s="308"/>
      <c r="G53" s="292"/>
      <c r="H53" s="281"/>
      <c r="I53" s="281"/>
    </row>
    <row r="54" spans="1:28" s="87" customFormat="1" ht="45" customHeight="1">
      <c r="A54" s="98" t="s">
        <v>20</v>
      </c>
      <c r="B54" s="305" t="s">
        <v>39</v>
      </c>
      <c r="C54" s="305"/>
      <c r="D54" s="171" t="s">
        <v>348</v>
      </c>
      <c r="E54" s="171" t="s">
        <v>347</v>
      </c>
      <c r="F54" s="166" t="s">
        <v>346</v>
      </c>
      <c r="G54" s="166" t="s">
        <v>345</v>
      </c>
      <c r="H54" s="115"/>
      <c r="I54" s="115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1:28" s="87" customFormat="1" ht="66.900000000000006" customHeight="1">
      <c r="A55" s="104" t="s">
        <v>212</v>
      </c>
      <c r="B55" s="314" t="s">
        <v>158</v>
      </c>
      <c r="C55" s="314"/>
      <c r="D55" s="164">
        <v>52370</v>
      </c>
      <c r="E55" s="164" t="s">
        <v>646</v>
      </c>
      <c r="F55" s="207">
        <v>30000</v>
      </c>
      <c r="G55" s="164" t="s">
        <v>648</v>
      </c>
      <c r="H55" s="118" t="b">
        <f>F55='[3]Indicadores e Metas'!F56</f>
        <v>1</v>
      </c>
      <c r="I55" s="118"/>
      <c r="J55" s="86"/>
      <c r="K55" s="86" t="s">
        <v>656</v>
      </c>
      <c r="L55" s="86"/>
      <c r="M55" s="86"/>
      <c r="N55" s="86"/>
      <c r="O55" s="86"/>
      <c r="P55" s="86"/>
      <c r="Q55" s="86"/>
      <c r="R55" s="86"/>
      <c r="S55" s="86"/>
    </row>
    <row r="56" spans="1:28" s="87" customFormat="1" ht="34.5" customHeight="1">
      <c r="A56" s="309" t="s">
        <v>213</v>
      </c>
      <c r="B56" s="101" t="s">
        <v>159</v>
      </c>
      <c r="C56" s="314" t="s">
        <v>55</v>
      </c>
      <c r="D56" s="286" t="s">
        <v>645</v>
      </c>
      <c r="E56" s="286" t="s">
        <v>645</v>
      </c>
      <c r="F56" s="318">
        <v>0.25</v>
      </c>
      <c r="G56" s="286" t="s">
        <v>648</v>
      </c>
      <c r="H56" s="281" t="b">
        <f>F56='[3]Indicadores e Metas'!F57</f>
        <v>1</v>
      </c>
      <c r="I56" s="281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1:28" s="87" customFormat="1" ht="34.5" customHeight="1">
      <c r="A57" s="309"/>
      <c r="B57" s="102" t="s">
        <v>58</v>
      </c>
      <c r="C57" s="314"/>
      <c r="D57" s="286"/>
      <c r="E57" s="286"/>
      <c r="F57" s="318"/>
      <c r="G57" s="286"/>
      <c r="H57" s="281"/>
      <c r="I57" s="281"/>
      <c r="J57" s="86"/>
      <c r="K57" s="86" t="s">
        <v>656</v>
      </c>
      <c r="L57" s="86"/>
      <c r="M57" s="86"/>
      <c r="N57" s="86"/>
      <c r="O57" s="86"/>
      <c r="P57" s="86"/>
      <c r="Q57" s="86"/>
      <c r="R57" s="86"/>
      <c r="S57" s="86"/>
    </row>
    <row r="58" spans="1:28" s="87" customFormat="1" ht="34.5" customHeight="1">
      <c r="A58" s="309" t="s">
        <v>214</v>
      </c>
      <c r="B58" s="101" t="s">
        <v>160</v>
      </c>
      <c r="C58" s="314" t="s">
        <v>55</v>
      </c>
      <c r="D58" s="291">
        <v>1</v>
      </c>
      <c r="E58" s="291">
        <v>1</v>
      </c>
      <c r="F58" s="318">
        <v>0.9</v>
      </c>
      <c r="G58" s="286" t="s">
        <v>648</v>
      </c>
      <c r="H58" s="281" t="b">
        <f>F58='[3]Indicadores e Metas'!F59</f>
        <v>1</v>
      </c>
      <c r="I58" s="281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1:28" s="87" customFormat="1" ht="34.5" customHeight="1">
      <c r="A59" s="309"/>
      <c r="B59" s="102" t="s">
        <v>59</v>
      </c>
      <c r="C59" s="314"/>
      <c r="D59" s="291"/>
      <c r="E59" s="291"/>
      <c r="F59" s="318"/>
      <c r="G59" s="286"/>
      <c r="H59" s="281"/>
      <c r="I59" s="281"/>
      <c r="J59" s="86"/>
      <c r="K59" s="86" t="s">
        <v>656</v>
      </c>
      <c r="L59" s="86"/>
      <c r="M59" s="86"/>
      <c r="N59" s="86"/>
      <c r="O59" s="86"/>
      <c r="P59" s="86"/>
      <c r="Q59" s="86"/>
      <c r="R59" s="86"/>
      <c r="S59" s="86"/>
    </row>
    <row r="60" spans="1:28" s="87" customFormat="1" ht="87" customHeight="1">
      <c r="A60" s="104" t="s">
        <v>161</v>
      </c>
      <c r="B60" s="314" t="s">
        <v>162</v>
      </c>
      <c r="C60" s="314"/>
      <c r="D60" s="164" t="s">
        <v>645</v>
      </c>
      <c r="E60" s="164" t="s">
        <v>645</v>
      </c>
      <c r="F60" s="207">
        <v>20000</v>
      </c>
      <c r="G60" s="164" t="s">
        <v>648</v>
      </c>
      <c r="H60" s="118" t="b">
        <f>F60='[3]Indicadores e Metas'!F61</f>
        <v>1</v>
      </c>
      <c r="I60" s="118"/>
      <c r="J60" s="86"/>
      <c r="K60" s="86" t="s">
        <v>656</v>
      </c>
      <c r="L60" s="86"/>
      <c r="M60" s="86"/>
      <c r="N60" s="86"/>
      <c r="O60" s="86"/>
      <c r="P60" s="86"/>
      <c r="Q60" s="86"/>
      <c r="R60" s="86"/>
      <c r="S60" s="86"/>
    </row>
    <row r="61" spans="1:28" s="87" customFormat="1" ht="45" customHeight="1">
      <c r="A61" s="98" t="s">
        <v>21</v>
      </c>
      <c r="B61" s="305" t="s">
        <v>39</v>
      </c>
      <c r="C61" s="305"/>
      <c r="D61" s="171" t="s">
        <v>348</v>
      </c>
      <c r="E61" s="171" t="s">
        <v>347</v>
      </c>
      <c r="F61" s="166" t="s">
        <v>346</v>
      </c>
      <c r="G61" s="166" t="s">
        <v>345</v>
      </c>
      <c r="H61" s="115"/>
      <c r="I61" s="115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1:28" s="87" customFormat="1" ht="34.5" customHeight="1">
      <c r="A62" s="317" t="s">
        <v>215</v>
      </c>
      <c r="B62" s="105" t="s">
        <v>163</v>
      </c>
      <c r="C62" s="314" t="s">
        <v>55</v>
      </c>
      <c r="D62" s="291">
        <v>0.73</v>
      </c>
      <c r="E62" s="291">
        <v>0.6</v>
      </c>
      <c r="F62" s="308">
        <v>0.5</v>
      </c>
      <c r="G62" s="292">
        <f>9/15</f>
        <v>0.6</v>
      </c>
      <c r="H62" s="281" t="b">
        <f>F62='[3]Indicadores e Metas'!F63</f>
        <v>1</v>
      </c>
      <c r="I62" s="281"/>
      <c r="J62" s="86"/>
      <c r="K62" s="86" t="s">
        <v>677</v>
      </c>
      <c r="L62" s="86"/>
      <c r="M62" s="86"/>
      <c r="N62" s="86"/>
      <c r="O62" s="86"/>
      <c r="P62" s="86"/>
      <c r="Q62" s="86"/>
      <c r="R62" s="86"/>
      <c r="S62" s="86"/>
    </row>
    <row r="63" spans="1:28" s="87" customFormat="1" ht="34.5" customHeight="1">
      <c r="A63" s="317"/>
      <c r="B63" s="106" t="s">
        <v>164</v>
      </c>
      <c r="C63" s="314"/>
      <c r="D63" s="291"/>
      <c r="E63" s="291"/>
      <c r="F63" s="308"/>
      <c r="G63" s="292"/>
      <c r="H63" s="281"/>
      <c r="I63" s="281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1:28" s="87" customFormat="1" ht="90.75" customHeight="1">
      <c r="A64" s="320" t="s">
        <v>216</v>
      </c>
      <c r="B64" s="107" t="s">
        <v>122</v>
      </c>
      <c r="C64" s="314" t="s">
        <v>55</v>
      </c>
      <c r="D64" s="291">
        <v>0</v>
      </c>
      <c r="E64" s="286" t="s">
        <v>647</v>
      </c>
      <c r="F64" s="308">
        <v>0.25</v>
      </c>
      <c r="G64" s="292">
        <f>0/1%</f>
        <v>0</v>
      </c>
      <c r="H64" s="281" t="b">
        <f>F64='[3]Indicadores e Metas'!F65</f>
        <v>1</v>
      </c>
      <c r="I64" s="281"/>
      <c r="J64" s="86"/>
      <c r="K64" s="86" t="s">
        <v>657</v>
      </c>
      <c r="L64" s="86"/>
      <c r="M64" s="220" t="s">
        <v>672</v>
      </c>
      <c r="N64" s="86"/>
      <c r="O64" s="86"/>
      <c r="P64" s="86"/>
      <c r="Q64" s="86"/>
      <c r="R64" s="270" t="s">
        <v>671</v>
      </c>
      <c r="S64" s="270"/>
      <c r="T64" s="270"/>
      <c r="U64" s="270"/>
      <c r="V64" s="270"/>
      <c r="W64" s="270"/>
      <c r="X64" s="270"/>
      <c r="Y64" s="270"/>
      <c r="Z64" s="270"/>
      <c r="AA64" s="270"/>
      <c r="AB64" s="270"/>
    </row>
    <row r="65" spans="1:28" s="87" customFormat="1" ht="60.75" customHeight="1">
      <c r="A65" s="320"/>
      <c r="B65" s="108" t="s">
        <v>165</v>
      </c>
      <c r="C65" s="314"/>
      <c r="D65" s="291"/>
      <c r="E65" s="286"/>
      <c r="F65" s="308"/>
      <c r="G65" s="292"/>
      <c r="H65" s="281"/>
      <c r="I65" s="281"/>
      <c r="J65" s="86"/>
      <c r="K65" s="86"/>
      <c r="L65" s="86"/>
      <c r="M65" s="86"/>
      <c r="N65" s="86"/>
      <c r="O65" s="86"/>
      <c r="P65" s="86"/>
      <c r="Q65" s="86"/>
      <c r="R65" s="219"/>
      <c r="S65" s="219"/>
      <c r="T65" s="217"/>
      <c r="U65" s="217"/>
      <c r="V65" s="217"/>
      <c r="W65" s="217"/>
      <c r="X65" s="217"/>
      <c r="Y65" s="217"/>
      <c r="Z65" s="217"/>
      <c r="AA65" s="217"/>
      <c r="AB65" s="217"/>
    </row>
    <row r="66" spans="1:28" s="87" customFormat="1" ht="34.5" customHeight="1">
      <c r="A66" s="309" t="s">
        <v>217</v>
      </c>
      <c r="B66" s="311" t="s">
        <v>166</v>
      </c>
      <c r="C66" s="311"/>
      <c r="D66" s="286" t="s">
        <v>645</v>
      </c>
      <c r="E66" s="286" t="s">
        <v>645</v>
      </c>
      <c r="F66" s="289">
        <v>0.75</v>
      </c>
      <c r="G66" s="321" t="s">
        <v>650</v>
      </c>
      <c r="H66" s="281" t="b">
        <f>F66='[3]Indicadores e Metas'!F67</f>
        <v>1</v>
      </c>
      <c r="I66" s="27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1:28" s="87" customFormat="1" ht="34.5" customHeight="1">
      <c r="A67" s="309"/>
      <c r="B67" s="313" t="s">
        <v>167</v>
      </c>
      <c r="C67" s="313"/>
      <c r="D67" s="286"/>
      <c r="E67" s="286"/>
      <c r="F67" s="289"/>
      <c r="G67" s="292"/>
      <c r="H67" s="281"/>
      <c r="I67" s="27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1:28" s="87" customFormat="1" ht="45" customHeight="1">
      <c r="A68" s="98" t="s">
        <v>22</v>
      </c>
      <c r="B68" s="305" t="s">
        <v>39</v>
      </c>
      <c r="C68" s="305"/>
      <c r="D68" s="171" t="s">
        <v>348</v>
      </c>
      <c r="E68" s="171" t="s">
        <v>347</v>
      </c>
      <c r="F68" s="166" t="s">
        <v>346</v>
      </c>
      <c r="G68" s="166" t="s">
        <v>345</v>
      </c>
      <c r="H68" s="115"/>
      <c r="I68" s="115"/>
      <c r="J68" s="86"/>
      <c r="K68" s="86"/>
      <c r="L68" s="86"/>
      <c r="P68" s="86"/>
      <c r="Q68" s="86"/>
      <c r="R68" s="86"/>
      <c r="S68" s="86"/>
    </row>
    <row r="69" spans="1:28" s="87" customFormat="1" ht="34.5" customHeight="1">
      <c r="A69" s="309" t="s">
        <v>218</v>
      </c>
      <c r="B69" s="311" t="s">
        <v>189</v>
      </c>
      <c r="C69" s="311"/>
      <c r="D69" s="286">
        <v>3.8</v>
      </c>
      <c r="E69" s="286">
        <v>2.94</v>
      </c>
      <c r="F69" s="322">
        <v>2.8829318360200444</v>
      </c>
      <c r="G69" s="319">
        <f>I69</f>
        <v>3.8016244781853463</v>
      </c>
      <c r="H69" s="276" t="b">
        <f>F69='[3]Indicadores e Metas'!F70</f>
        <v>1</v>
      </c>
      <c r="I69" s="277">
        <f>L15/L69</f>
        <v>3.8016244781853463</v>
      </c>
      <c r="J69" s="86"/>
      <c r="K69" s="212" t="s">
        <v>658</v>
      </c>
      <c r="L69" s="345">
        <f>2338474/1000</f>
        <v>2338.4740000000002</v>
      </c>
      <c r="M69" s="345"/>
      <c r="N69" s="87" t="s">
        <v>659</v>
      </c>
      <c r="O69" s="86"/>
      <c r="P69" s="86"/>
      <c r="Q69" s="86"/>
      <c r="R69" s="221" t="s">
        <v>676</v>
      </c>
      <c r="S69" s="222"/>
      <c r="T69" s="222"/>
      <c r="U69" s="222"/>
      <c r="V69" s="222"/>
      <c r="W69" s="222"/>
      <c r="X69" s="222"/>
      <c r="Y69" s="222"/>
      <c r="Z69" s="222"/>
      <c r="AA69" s="222"/>
      <c r="AB69" s="222"/>
    </row>
    <row r="70" spans="1:28" s="87" customFormat="1" ht="34.5" customHeight="1">
      <c r="A70" s="309"/>
      <c r="B70" s="313" t="s">
        <v>169</v>
      </c>
      <c r="C70" s="313"/>
      <c r="D70" s="286"/>
      <c r="E70" s="286"/>
      <c r="F70" s="322"/>
      <c r="G70" s="319"/>
      <c r="H70" s="276"/>
      <c r="I70" s="277"/>
      <c r="J70" s="86"/>
      <c r="K70" s="86"/>
      <c r="L70" s="86"/>
      <c r="M70" s="86"/>
      <c r="N70" s="86"/>
      <c r="O70" s="86"/>
      <c r="P70" s="86"/>
      <c r="Q70" s="86"/>
      <c r="R70" s="221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</row>
    <row r="71" spans="1:28" s="87" customFormat="1" ht="34.5" customHeight="1">
      <c r="A71" s="309" t="s">
        <v>219</v>
      </c>
      <c r="B71" s="101" t="s">
        <v>117</v>
      </c>
      <c r="C71" s="314" t="s">
        <v>55</v>
      </c>
      <c r="D71" s="286">
        <v>0.1</v>
      </c>
      <c r="E71" s="286">
        <v>0.1</v>
      </c>
      <c r="F71" s="318">
        <v>0.05</v>
      </c>
      <c r="G71" s="324">
        <f>I71</f>
        <v>5.8155230596175479E-2</v>
      </c>
      <c r="H71" s="276" t="b">
        <f>F71='[3]Indicadores e Metas'!F72</f>
        <v>1</v>
      </c>
      <c r="I71" s="278">
        <f>M71/L15</f>
        <v>5.8155230596175479E-2</v>
      </c>
      <c r="J71" s="86"/>
      <c r="K71" s="86" t="s">
        <v>117</v>
      </c>
      <c r="L71" s="86"/>
      <c r="M71" s="86">
        <v>517</v>
      </c>
      <c r="N71" s="86"/>
      <c r="O71" s="86"/>
      <c r="P71" s="86"/>
      <c r="Q71" s="86"/>
      <c r="R71" s="221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</row>
    <row r="72" spans="1:28" ht="34.5" customHeight="1">
      <c r="A72" s="309"/>
      <c r="B72" s="102" t="s">
        <v>168</v>
      </c>
      <c r="C72" s="314"/>
      <c r="D72" s="286"/>
      <c r="E72" s="286"/>
      <c r="F72" s="318"/>
      <c r="G72" s="324"/>
      <c r="H72" s="276"/>
      <c r="I72" s="278"/>
      <c r="K72" s="86" t="s">
        <v>661</v>
      </c>
      <c r="R72" s="221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</row>
    <row r="73" spans="1:28" s="87" customFormat="1" ht="34.5" customHeight="1">
      <c r="A73" s="309" t="s">
        <v>220</v>
      </c>
      <c r="B73" s="101" t="s">
        <v>170</v>
      </c>
      <c r="C73" s="314" t="s">
        <v>55</v>
      </c>
      <c r="D73" s="286" t="s">
        <v>645</v>
      </c>
      <c r="E73" s="286" t="s">
        <v>645</v>
      </c>
      <c r="F73" s="318">
        <v>8.9753178758414359E-3</v>
      </c>
      <c r="G73" s="324">
        <f>72/11874</f>
        <v>6.0636685194542699E-3</v>
      </c>
      <c r="H73" s="276" t="b">
        <f>F73='[3]Indicadores e Metas'!F74</f>
        <v>1</v>
      </c>
      <c r="I73" s="278">
        <f>M73/L15</f>
        <v>5.6242969628796397E-3</v>
      </c>
      <c r="K73" s="87" t="s">
        <v>660</v>
      </c>
      <c r="M73" s="87">
        <v>50</v>
      </c>
      <c r="R73" s="221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</row>
    <row r="74" spans="1:28" s="87" customFormat="1" ht="34.5" customHeight="1">
      <c r="A74" s="309"/>
      <c r="B74" s="102" t="s">
        <v>168</v>
      </c>
      <c r="C74" s="314"/>
      <c r="D74" s="286"/>
      <c r="E74" s="286"/>
      <c r="F74" s="318"/>
      <c r="G74" s="324"/>
      <c r="H74" s="276"/>
      <c r="I74" s="278"/>
      <c r="R74" s="221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</row>
    <row r="75" spans="1:28" s="87" customFormat="1" ht="45" customHeight="1">
      <c r="A75" s="98" t="s">
        <v>23</v>
      </c>
      <c r="B75" s="305" t="s">
        <v>39</v>
      </c>
      <c r="C75" s="305"/>
      <c r="D75" s="171" t="s">
        <v>348</v>
      </c>
      <c r="E75" s="171" t="s">
        <v>347</v>
      </c>
      <c r="F75" s="166" t="s">
        <v>346</v>
      </c>
      <c r="G75" s="166" t="s">
        <v>345</v>
      </c>
      <c r="H75" s="115"/>
      <c r="I75" s="115"/>
      <c r="J75" s="86"/>
      <c r="K75" s="86"/>
      <c r="L75" s="86"/>
      <c r="M75" s="86"/>
      <c r="N75" s="86"/>
      <c r="O75" s="86"/>
      <c r="P75" s="86"/>
      <c r="Q75" s="86"/>
      <c r="R75" s="221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</row>
    <row r="76" spans="1:28" ht="34.5" customHeight="1">
      <c r="A76" s="309" t="s">
        <v>221</v>
      </c>
      <c r="B76" s="311" t="s">
        <v>171</v>
      </c>
      <c r="C76" s="311"/>
      <c r="D76" s="286">
        <v>863.18</v>
      </c>
      <c r="E76" s="286">
        <v>803.35</v>
      </c>
      <c r="F76" s="325">
        <v>804.22102382485514</v>
      </c>
      <c r="G76" s="323">
        <f>I76</f>
        <v>1033.6348560460651</v>
      </c>
      <c r="H76" s="279" t="b">
        <f>F76='[3]Indicadores e Metas'!F77</f>
        <v>1</v>
      </c>
      <c r="I76" s="280">
        <f>'Fontes '!D7/'Indicadores e Metas'!L16</f>
        <v>1033.6348560460651</v>
      </c>
      <c r="R76" s="221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</row>
    <row r="77" spans="1:28" ht="34.5" customHeight="1">
      <c r="A77" s="309"/>
      <c r="B77" s="313" t="s">
        <v>61</v>
      </c>
      <c r="C77" s="313"/>
      <c r="D77" s="286"/>
      <c r="E77" s="286"/>
      <c r="F77" s="325"/>
      <c r="G77" s="323"/>
      <c r="H77" s="279"/>
      <c r="I77" s="280"/>
      <c r="R77" s="221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</row>
    <row r="78" spans="1:28" ht="34.5" customHeight="1">
      <c r="A78" s="309" t="s">
        <v>222</v>
      </c>
      <c r="B78" s="101" t="s">
        <v>172</v>
      </c>
      <c r="C78" s="314" t="s">
        <v>55</v>
      </c>
      <c r="D78" s="291">
        <v>0.49399999999999999</v>
      </c>
      <c r="E78" s="291">
        <v>0.55000000000000004</v>
      </c>
      <c r="F78" s="326">
        <v>0.51300000000000001</v>
      </c>
      <c r="G78" s="324">
        <f>'Balanço Orçamentário'!H61/'Balanço Orçamentário'!L21</f>
        <v>0.41345168007690752</v>
      </c>
      <c r="H78" s="279"/>
      <c r="I78" s="278">
        <f>'Limites Estratégicos'!N4/'Limites Estratégicos'!N6</f>
        <v>0.41345168007690758</v>
      </c>
      <c r="J78" s="86" t="s">
        <v>656</v>
      </c>
      <c r="R78" s="221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</row>
    <row r="79" spans="1:28" ht="34.5" customHeight="1">
      <c r="A79" s="309"/>
      <c r="B79" s="102" t="s">
        <v>171</v>
      </c>
      <c r="C79" s="314"/>
      <c r="D79" s="291"/>
      <c r="E79" s="291"/>
      <c r="F79" s="326"/>
      <c r="G79" s="324"/>
      <c r="H79" s="279"/>
      <c r="I79" s="278"/>
      <c r="M79" s="86" t="s">
        <v>288</v>
      </c>
      <c r="N79" s="213">
        <v>1791219.33</v>
      </c>
      <c r="R79" s="221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</row>
    <row r="80" spans="1:28" ht="34.5" customHeight="1">
      <c r="A80" s="309" t="s">
        <v>223</v>
      </c>
      <c r="B80" s="311" t="s">
        <v>120</v>
      </c>
      <c r="C80" s="311"/>
      <c r="D80" s="286">
        <v>11</v>
      </c>
      <c r="E80" s="286">
        <v>16</v>
      </c>
      <c r="F80" s="286">
        <v>11.23</v>
      </c>
      <c r="G80" s="328">
        <f>1791219.33/96030.11</f>
        <v>18.652684350772898</v>
      </c>
      <c r="H80" s="279"/>
      <c r="I80" s="283">
        <f>N79/N80</f>
        <v>18.652684350772898</v>
      </c>
      <c r="M80" s="86" t="s">
        <v>662</v>
      </c>
      <c r="N80" s="213">
        <v>96030.11</v>
      </c>
      <c r="R80" s="221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</row>
    <row r="81" spans="1:28" ht="34.5" customHeight="1">
      <c r="A81" s="309"/>
      <c r="B81" s="313" t="s">
        <v>60</v>
      </c>
      <c r="C81" s="313"/>
      <c r="D81" s="286"/>
      <c r="E81" s="286"/>
      <c r="F81" s="286"/>
      <c r="G81" s="328"/>
      <c r="H81" s="279"/>
      <c r="I81" s="283"/>
      <c r="J81" s="86" t="s">
        <v>656</v>
      </c>
      <c r="R81" s="221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</row>
    <row r="82" spans="1:28" ht="34.5" customHeight="1">
      <c r="A82" s="309" t="s">
        <v>224</v>
      </c>
      <c r="B82" s="101" t="s">
        <v>121</v>
      </c>
      <c r="C82" s="314" t="s">
        <v>55</v>
      </c>
      <c r="D82" s="327">
        <v>0.37</v>
      </c>
      <c r="E82" s="327">
        <v>0.3362</v>
      </c>
      <c r="F82" s="326">
        <v>0.29499999999999998</v>
      </c>
      <c r="G82" s="333">
        <v>0.2606</v>
      </c>
      <c r="H82" s="279" t="b">
        <f>F82='[3]Indicadores e Metas'!F83</f>
        <v>1</v>
      </c>
      <c r="I82" s="282">
        <f>100-73.94</f>
        <v>26.060000000000002</v>
      </c>
      <c r="L82" s="86" t="s">
        <v>663</v>
      </c>
      <c r="R82" s="221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</row>
    <row r="83" spans="1:28" s="87" customFormat="1" ht="34.5" customHeight="1">
      <c r="A83" s="309"/>
      <c r="B83" s="102" t="s">
        <v>190</v>
      </c>
      <c r="C83" s="314"/>
      <c r="D83" s="327"/>
      <c r="E83" s="327"/>
      <c r="F83" s="326"/>
      <c r="G83" s="333"/>
      <c r="H83" s="279"/>
      <c r="I83" s="282"/>
      <c r="J83" s="86"/>
      <c r="K83" s="86"/>
      <c r="L83" s="86"/>
      <c r="M83" s="86"/>
      <c r="N83" s="86"/>
      <c r="O83" s="86"/>
      <c r="P83" s="86"/>
      <c r="Q83" s="86"/>
      <c r="R83" s="221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</row>
    <row r="84" spans="1:28" s="87" customFormat="1" ht="34.5" customHeight="1">
      <c r="A84" s="309" t="s">
        <v>225</v>
      </c>
      <c r="B84" s="101" t="s">
        <v>62</v>
      </c>
      <c r="C84" s="314" t="s">
        <v>55</v>
      </c>
      <c r="D84" s="327">
        <v>0.58299999999999996</v>
      </c>
      <c r="E84" s="327">
        <v>0.63759999999999994</v>
      </c>
      <c r="F84" s="326">
        <v>0.40600000000000003</v>
      </c>
      <c r="G84" s="333">
        <v>0.46110000000000001</v>
      </c>
      <c r="H84" s="279" t="b">
        <f>F84='[3]Indicadores e Metas'!F85</f>
        <v>1</v>
      </c>
      <c r="I84" s="282">
        <f>100-53.89</f>
        <v>46.11</v>
      </c>
      <c r="J84" s="86"/>
      <c r="K84" s="86"/>
      <c r="L84" s="86" t="s">
        <v>663</v>
      </c>
      <c r="M84" s="86"/>
      <c r="N84" s="86"/>
      <c r="O84" s="86"/>
      <c r="P84" s="86"/>
      <c r="Q84" s="86"/>
      <c r="R84" s="221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</row>
    <row r="85" spans="1:28" s="87" customFormat="1" ht="34.5" customHeight="1">
      <c r="A85" s="309"/>
      <c r="B85" s="102" t="s">
        <v>173</v>
      </c>
      <c r="C85" s="314"/>
      <c r="D85" s="327"/>
      <c r="E85" s="327"/>
      <c r="F85" s="326"/>
      <c r="G85" s="333"/>
      <c r="H85" s="279"/>
      <c r="I85" s="282"/>
      <c r="J85" s="86"/>
      <c r="K85" s="86"/>
      <c r="L85" s="86"/>
      <c r="M85" s="86"/>
      <c r="N85" s="86"/>
      <c r="O85" s="86"/>
      <c r="P85" s="86"/>
      <c r="Q85" s="86"/>
      <c r="R85" s="221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</row>
    <row r="86" spans="1:28" s="87" customFormat="1" ht="45" customHeight="1">
      <c r="A86" s="98" t="s">
        <v>24</v>
      </c>
      <c r="B86" s="305" t="s">
        <v>39</v>
      </c>
      <c r="C86" s="305"/>
      <c r="D86" s="171" t="s">
        <v>348</v>
      </c>
      <c r="E86" s="171" t="s">
        <v>347</v>
      </c>
      <c r="F86" s="166" t="s">
        <v>346</v>
      </c>
      <c r="G86" s="166" t="s">
        <v>345</v>
      </c>
      <c r="H86" s="115"/>
      <c r="I86" s="115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1:28" s="87" customFormat="1" ht="34.5" customHeight="1">
      <c r="A87" s="309" t="s">
        <v>226</v>
      </c>
      <c r="B87" s="101" t="s">
        <v>174</v>
      </c>
      <c r="C87" s="314" t="s">
        <v>55</v>
      </c>
      <c r="D87" s="286" t="s">
        <v>644</v>
      </c>
      <c r="E87" s="286" t="s">
        <v>644</v>
      </c>
      <c r="F87" s="318">
        <v>0.5</v>
      </c>
      <c r="G87" s="286">
        <v>0</v>
      </c>
      <c r="H87" s="281" t="b">
        <f>F87='[3]Indicadores e Metas'!F88</f>
        <v>1</v>
      </c>
      <c r="I87" s="281" t="s">
        <v>656</v>
      </c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1:28" s="87" customFormat="1" ht="34.5" customHeight="1">
      <c r="A88" s="309"/>
      <c r="B88" s="102" t="s">
        <v>175</v>
      </c>
      <c r="C88" s="314"/>
      <c r="D88" s="286"/>
      <c r="E88" s="286"/>
      <c r="F88" s="318"/>
      <c r="G88" s="286"/>
      <c r="H88" s="281"/>
      <c r="I88" s="281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1:28" s="87" customFormat="1" ht="63" customHeight="1">
      <c r="A89" s="309" t="s">
        <v>227</v>
      </c>
      <c r="B89" s="101" t="s">
        <v>176</v>
      </c>
      <c r="C89" s="314" t="s">
        <v>55</v>
      </c>
      <c r="D89" s="286" t="s">
        <v>644</v>
      </c>
      <c r="E89" s="286" t="s">
        <v>644</v>
      </c>
      <c r="F89" s="331" t="s">
        <v>339</v>
      </c>
      <c r="G89" s="335">
        <v>0</v>
      </c>
      <c r="H89" s="281" t="b">
        <f>F89='[3]Indicadores e Metas'!F90</f>
        <v>1</v>
      </c>
      <c r="L89" s="281"/>
      <c r="M89" s="281"/>
      <c r="N89" s="281"/>
      <c r="O89" s="281"/>
      <c r="P89" s="86"/>
      <c r="Q89" s="86"/>
      <c r="R89" s="86"/>
      <c r="S89" s="270" t="s">
        <v>673</v>
      </c>
      <c r="T89" s="270"/>
      <c r="U89" s="270"/>
      <c r="V89" s="270"/>
      <c r="W89" s="270"/>
      <c r="X89" s="270"/>
      <c r="Y89" s="270"/>
      <c r="Z89" s="270"/>
      <c r="AA89" s="270"/>
      <c r="AB89" s="270"/>
    </row>
    <row r="90" spans="1:28" s="87" customFormat="1" ht="34.5" customHeight="1">
      <c r="A90" s="309"/>
      <c r="B90" s="102" t="s">
        <v>177</v>
      </c>
      <c r="C90" s="314"/>
      <c r="D90" s="286"/>
      <c r="E90" s="286"/>
      <c r="F90" s="331"/>
      <c r="G90" s="335"/>
      <c r="H90" s="281"/>
      <c r="L90" s="281"/>
      <c r="M90" s="281"/>
      <c r="N90" s="281"/>
      <c r="O90" s="281"/>
      <c r="P90" s="86"/>
      <c r="Q90" s="86"/>
      <c r="R90" s="86"/>
      <c r="S90" s="219"/>
      <c r="T90" s="217"/>
      <c r="U90" s="217"/>
      <c r="V90" s="217"/>
      <c r="W90" s="217"/>
      <c r="X90" s="217"/>
      <c r="Y90" s="217"/>
      <c r="Z90" s="217"/>
      <c r="AA90" s="217"/>
      <c r="AB90" s="217"/>
    </row>
    <row r="91" spans="1:28" s="87" customFormat="1" ht="34.5" customHeight="1">
      <c r="A91" s="309" t="s">
        <v>228</v>
      </c>
      <c r="B91" s="101" t="s">
        <v>178</v>
      </c>
      <c r="C91" s="314" t="s">
        <v>55</v>
      </c>
      <c r="D91" s="286" t="s">
        <v>644</v>
      </c>
      <c r="E91" s="286" t="s">
        <v>644</v>
      </c>
      <c r="F91" s="332" t="s">
        <v>339</v>
      </c>
      <c r="G91" s="286">
        <v>0</v>
      </c>
      <c r="H91" s="281" t="b">
        <f>F91='[3]Indicadores e Metas'!F92</f>
        <v>1</v>
      </c>
      <c r="I91" s="281" t="s">
        <v>656</v>
      </c>
      <c r="J91" s="86"/>
      <c r="K91" s="86"/>
      <c r="P91" s="86"/>
      <c r="Q91" s="86"/>
      <c r="R91" s="86"/>
      <c r="S91" s="86"/>
    </row>
    <row r="92" spans="1:28" s="87" customFormat="1" ht="34.5" customHeight="1">
      <c r="A92" s="309"/>
      <c r="B92" s="102" t="s">
        <v>177</v>
      </c>
      <c r="C92" s="314"/>
      <c r="D92" s="286"/>
      <c r="E92" s="286"/>
      <c r="F92" s="332"/>
      <c r="G92" s="286"/>
      <c r="H92" s="281"/>
      <c r="I92" s="281"/>
      <c r="J92" s="86"/>
      <c r="K92" s="86"/>
      <c r="P92" s="86"/>
      <c r="Q92" s="86"/>
      <c r="R92" s="86"/>
      <c r="S92" s="86"/>
    </row>
    <row r="93" spans="1:28" s="87" customFormat="1" ht="45" customHeight="1">
      <c r="A93" s="98" t="s">
        <v>25</v>
      </c>
      <c r="B93" s="305" t="s">
        <v>39</v>
      </c>
      <c r="C93" s="305"/>
      <c r="D93" s="171" t="s">
        <v>348</v>
      </c>
      <c r="E93" s="171" t="s">
        <v>347</v>
      </c>
      <c r="F93" s="166" t="s">
        <v>346</v>
      </c>
      <c r="G93" s="166" t="s">
        <v>345</v>
      </c>
      <c r="H93" s="115"/>
      <c r="I93" s="115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1:28" s="87" customFormat="1" ht="34.5" customHeight="1">
      <c r="A94" s="309" t="s">
        <v>229</v>
      </c>
      <c r="B94" s="311" t="s">
        <v>63</v>
      </c>
      <c r="C94" s="311"/>
      <c r="D94" s="286">
        <v>6.9</v>
      </c>
      <c r="E94" s="286" t="s">
        <v>644</v>
      </c>
      <c r="F94" s="286">
        <v>10</v>
      </c>
      <c r="G94" s="330">
        <f>160/15</f>
        <v>10.666666666666666</v>
      </c>
      <c r="H94" s="276">
        <f>'[3]Indicadores e Metas'!F95</f>
        <v>10</v>
      </c>
      <c r="I94" s="276"/>
      <c r="J94" s="86"/>
      <c r="K94" s="86"/>
      <c r="L94" s="86" t="s">
        <v>677</v>
      </c>
      <c r="M94" s="86"/>
      <c r="N94" s="86"/>
      <c r="O94" s="86"/>
      <c r="P94" s="86"/>
      <c r="Q94" s="86"/>
      <c r="R94" s="86"/>
      <c r="S94" s="274" t="s">
        <v>674</v>
      </c>
      <c r="T94" s="275"/>
      <c r="U94" s="275"/>
      <c r="V94" s="275"/>
      <c r="W94" s="275"/>
      <c r="X94" s="275"/>
      <c r="Y94" s="275"/>
      <c r="Z94" s="275"/>
      <c r="AA94" s="275"/>
      <c r="AB94" s="275"/>
    </row>
    <row r="95" spans="1:28" s="87" customFormat="1" ht="34.5" customHeight="1">
      <c r="A95" s="309"/>
      <c r="B95" s="313" t="s">
        <v>64</v>
      </c>
      <c r="C95" s="313"/>
      <c r="D95" s="286"/>
      <c r="E95" s="286"/>
      <c r="F95" s="286"/>
      <c r="G95" s="330"/>
      <c r="H95" s="276"/>
      <c r="I95" s="276"/>
      <c r="J95" s="86"/>
      <c r="K95" s="86"/>
      <c r="L95" s="86"/>
      <c r="M95" s="86"/>
      <c r="N95" s="86"/>
      <c r="O95" s="86"/>
      <c r="P95" s="86"/>
      <c r="Q95" s="86"/>
      <c r="R95" s="86"/>
      <c r="S95" s="274"/>
      <c r="T95" s="275"/>
      <c r="U95" s="275"/>
      <c r="V95" s="275"/>
      <c r="W95" s="275"/>
      <c r="X95" s="275"/>
      <c r="Y95" s="275"/>
      <c r="Z95" s="275"/>
      <c r="AA95" s="275"/>
      <c r="AB95" s="275"/>
    </row>
    <row r="96" spans="1:28" s="87" customFormat="1" ht="45" customHeight="1">
      <c r="A96" s="98" t="s">
        <v>26</v>
      </c>
      <c r="B96" s="305" t="s">
        <v>39</v>
      </c>
      <c r="C96" s="305"/>
      <c r="D96" s="171" t="s">
        <v>348</v>
      </c>
      <c r="E96" s="171" t="s">
        <v>347</v>
      </c>
      <c r="F96" s="166" t="s">
        <v>346</v>
      </c>
      <c r="G96" s="166" t="s">
        <v>345</v>
      </c>
      <c r="H96" s="115"/>
      <c r="I96" s="115"/>
      <c r="J96" s="86"/>
      <c r="K96" s="86"/>
      <c r="L96" s="86"/>
      <c r="M96" s="86"/>
      <c r="N96" s="86"/>
      <c r="O96" s="86"/>
      <c r="P96" s="86"/>
      <c r="Q96" s="86"/>
      <c r="R96" s="86"/>
      <c r="S96" s="274"/>
      <c r="T96" s="275"/>
      <c r="U96" s="275"/>
      <c r="V96" s="275"/>
      <c r="W96" s="275"/>
      <c r="X96" s="275"/>
      <c r="Y96" s="275"/>
      <c r="Z96" s="275"/>
      <c r="AA96" s="275"/>
      <c r="AB96" s="275"/>
    </row>
    <row r="97" spans="1:28" s="87" customFormat="1" ht="34.5" customHeight="1">
      <c r="A97" s="104" t="s">
        <v>179</v>
      </c>
      <c r="B97" s="314" t="s">
        <v>180</v>
      </c>
      <c r="C97" s="314"/>
      <c r="D97" s="164" t="s">
        <v>644</v>
      </c>
      <c r="E97" s="164" t="s">
        <v>644</v>
      </c>
      <c r="F97" s="208">
        <v>0</v>
      </c>
      <c r="G97" s="164">
        <v>0</v>
      </c>
      <c r="H97" s="119" t="b">
        <f>F97='[3]Indicadores e Metas'!F98</f>
        <v>0</v>
      </c>
      <c r="I97" s="119"/>
      <c r="J97" s="86"/>
      <c r="K97" s="86"/>
      <c r="L97" s="86" t="s">
        <v>339</v>
      </c>
      <c r="M97" s="86"/>
      <c r="N97" s="86"/>
      <c r="O97" s="86"/>
      <c r="P97" s="86"/>
      <c r="Q97" s="86"/>
      <c r="R97" s="86"/>
      <c r="S97" s="274"/>
      <c r="T97" s="275"/>
      <c r="U97" s="275"/>
      <c r="V97" s="275"/>
      <c r="W97" s="275"/>
      <c r="X97" s="275"/>
      <c r="Y97" s="275"/>
      <c r="Z97" s="275"/>
      <c r="AA97" s="275"/>
      <c r="AB97" s="275"/>
    </row>
    <row r="98" spans="1:28" s="87" customFormat="1" ht="34.5" customHeight="1">
      <c r="A98" s="309" t="s">
        <v>181</v>
      </c>
      <c r="B98" s="101" t="s">
        <v>230</v>
      </c>
      <c r="C98" s="329" t="s">
        <v>55</v>
      </c>
      <c r="D98" s="286" t="s">
        <v>644</v>
      </c>
      <c r="E98" s="286" t="s">
        <v>644</v>
      </c>
      <c r="F98" s="318">
        <v>0.8</v>
      </c>
      <c r="G98" s="291">
        <f>11/16</f>
        <v>0.6875</v>
      </c>
      <c r="H98" s="119" t="b">
        <f>F98='[3]Indicadores e Metas'!F99</f>
        <v>1</v>
      </c>
      <c r="I98" s="281"/>
      <c r="J98" s="86"/>
      <c r="K98" s="86"/>
      <c r="L98" s="86"/>
      <c r="M98" s="86"/>
      <c r="N98" s="86"/>
      <c r="O98" s="86"/>
      <c r="P98" s="86"/>
      <c r="Q98" s="86"/>
      <c r="R98" s="86"/>
      <c r="S98" s="274"/>
      <c r="T98" s="275"/>
      <c r="U98" s="275"/>
      <c r="V98" s="275"/>
      <c r="W98" s="275"/>
      <c r="X98" s="275"/>
      <c r="Y98" s="275"/>
      <c r="Z98" s="275"/>
      <c r="AA98" s="275"/>
      <c r="AB98" s="275"/>
    </row>
    <row r="99" spans="1:28" s="87" customFormat="1" ht="34.5" customHeight="1">
      <c r="A99" s="309"/>
      <c r="B99" s="102" t="s">
        <v>231</v>
      </c>
      <c r="C99" s="329"/>
      <c r="D99" s="286"/>
      <c r="E99" s="286"/>
      <c r="F99" s="318"/>
      <c r="G99" s="291"/>
      <c r="H99" s="119"/>
      <c r="I99" s="281"/>
      <c r="J99" s="86"/>
      <c r="K99" s="86"/>
      <c r="L99" s="86" t="s">
        <v>677</v>
      </c>
      <c r="M99" s="86"/>
      <c r="N99" s="86"/>
      <c r="O99" s="86"/>
      <c r="P99" s="86"/>
      <c r="Q99" s="86"/>
      <c r="R99" s="86"/>
      <c r="S99" s="274"/>
      <c r="T99" s="275"/>
      <c r="U99" s="275"/>
      <c r="V99" s="275"/>
      <c r="W99" s="275"/>
      <c r="X99" s="275"/>
      <c r="Y99" s="275"/>
      <c r="Z99" s="275"/>
      <c r="AA99" s="275"/>
      <c r="AB99" s="275"/>
    </row>
    <row r="100" spans="1:28" s="87" customFormat="1" ht="45" customHeight="1">
      <c r="A100" s="98" t="s">
        <v>27</v>
      </c>
      <c r="B100" s="305" t="s">
        <v>39</v>
      </c>
      <c r="C100" s="305"/>
      <c r="D100" s="171" t="s">
        <v>348</v>
      </c>
      <c r="E100" s="171" t="s">
        <v>347</v>
      </c>
      <c r="F100" s="166" t="s">
        <v>346</v>
      </c>
      <c r="G100" s="166" t="s">
        <v>345</v>
      </c>
      <c r="H100" s="115"/>
      <c r="I100" s="115"/>
      <c r="J100" s="86"/>
      <c r="K100" s="86"/>
      <c r="L100" s="86"/>
      <c r="M100" s="86"/>
      <c r="N100" s="86"/>
      <c r="O100" s="86"/>
      <c r="P100" s="86"/>
      <c r="Q100" s="86"/>
      <c r="R100" s="86"/>
      <c r="S100" s="274"/>
      <c r="T100" s="275"/>
      <c r="U100" s="275"/>
      <c r="V100" s="275"/>
      <c r="W100" s="275"/>
      <c r="X100" s="275"/>
      <c r="Y100" s="275"/>
      <c r="Z100" s="275"/>
      <c r="AA100" s="275"/>
      <c r="AB100" s="275"/>
    </row>
    <row r="101" spans="1:28" s="87" customFormat="1" ht="34.5" customHeight="1">
      <c r="A101" s="309" t="s">
        <v>232</v>
      </c>
      <c r="B101" s="101" t="s">
        <v>118</v>
      </c>
      <c r="C101" s="329" t="s">
        <v>55</v>
      </c>
      <c r="D101" s="291">
        <v>0.8</v>
      </c>
      <c r="E101" s="291">
        <v>0.28000000000000003</v>
      </c>
      <c r="F101" s="318">
        <v>0.7</v>
      </c>
      <c r="G101" s="291">
        <v>0.7</v>
      </c>
      <c r="H101" s="281" t="b">
        <f>F101='[3]Indicadores e Metas'!F102</f>
        <v>1</v>
      </c>
      <c r="I101" s="281"/>
      <c r="J101" s="86"/>
      <c r="K101" s="86"/>
      <c r="L101" s="86"/>
      <c r="M101" s="86"/>
      <c r="N101" s="86"/>
      <c r="O101" s="86"/>
      <c r="P101" s="86"/>
      <c r="Q101" s="86"/>
      <c r="R101" s="86"/>
      <c r="S101" s="274"/>
      <c r="T101" s="275"/>
      <c r="U101" s="275"/>
      <c r="V101" s="275"/>
      <c r="W101" s="275"/>
      <c r="X101" s="275"/>
      <c r="Y101" s="275"/>
      <c r="Z101" s="275"/>
      <c r="AA101" s="275"/>
      <c r="AB101" s="275"/>
    </row>
    <row r="102" spans="1:28" ht="34.5" customHeight="1">
      <c r="A102" s="309"/>
      <c r="B102" s="109" t="s">
        <v>65</v>
      </c>
      <c r="C102" s="329"/>
      <c r="D102" s="291"/>
      <c r="E102" s="291"/>
      <c r="F102" s="318"/>
      <c r="G102" s="291"/>
      <c r="H102" s="281"/>
      <c r="I102" s="281"/>
      <c r="L102" s="86" t="s">
        <v>677</v>
      </c>
      <c r="S102" s="274"/>
      <c r="T102" s="275"/>
      <c r="U102" s="275"/>
      <c r="V102" s="275"/>
      <c r="W102" s="275"/>
      <c r="X102" s="275"/>
      <c r="Y102" s="275"/>
      <c r="Z102" s="275"/>
      <c r="AA102" s="275"/>
      <c r="AB102" s="275"/>
    </row>
    <row r="103" spans="1:28" ht="34.5" customHeight="1">
      <c r="A103" s="309" t="s">
        <v>233</v>
      </c>
      <c r="B103" s="101" t="s">
        <v>119</v>
      </c>
      <c r="C103" s="329" t="s">
        <v>55</v>
      </c>
      <c r="D103" s="291">
        <v>0.86</v>
      </c>
      <c r="E103" s="291">
        <v>0.1</v>
      </c>
      <c r="F103" s="318">
        <v>0.2</v>
      </c>
      <c r="G103" s="291">
        <f>2/9</f>
        <v>0.22222222222222221</v>
      </c>
      <c r="H103" s="281" t="b">
        <f>F103='[3]Indicadores e Metas'!F104</f>
        <v>1</v>
      </c>
      <c r="I103" s="281"/>
      <c r="S103" s="274"/>
      <c r="T103" s="275"/>
      <c r="U103" s="275"/>
      <c r="V103" s="275"/>
      <c r="W103" s="275"/>
      <c r="X103" s="275"/>
      <c r="Y103" s="275"/>
      <c r="Z103" s="275"/>
      <c r="AA103" s="275"/>
      <c r="AB103" s="275"/>
    </row>
    <row r="104" spans="1:28" ht="34.5" customHeight="1">
      <c r="A104" s="309"/>
      <c r="B104" s="109" t="s">
        <v>66</v>
      </c>
      <c r="C104" s="329"/>
      <c r="D104" s="291"/>
      <c r="E104" s="291"/>
      <c r="F104" s="318"/>
      <c r="G104" s="291"/>
      <c r="H104" s="281"/>
      <c r="I104" s="281"/>
      <c r="L104" s="86" t="s">
        <v>677</v>
      </c>
      <c r="S104" s="274"/>
      <c r="T104" s="275"/>
      <c r="U104" s="275"/>
      <c r="V104" s="275"/>
      <c r="W104" s="275"/>
      <c r="X104" s="275"/>
      <c r="Y104" s="275"/>
      <c r="Z104" s="275"/>
      <c r="AA104" s="275"/>
      <c r="AB104" s="275"/>
    </row>
    <row r="105" spans="1:28" ht="57.75" customHeight="1"/>
    <row r="106" spans="1:28"/>
    <row r="107" spans="1:28"/>
    <row r="108" spans="1:28"/>
    <row r="109" spans="1:28"/>
    <row r="110" spans="1:28"/>
    <row r="111" spans="1:28"/>
    <row r="112" spans="1:28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</sheetData>
  <protectedRanges>
    <protectedRange algorithmName="SHA-512" hashValue="oBu0U8UHWW1M9CSBiI+2smTKBuiu7zBMJPASzxaVW3/YfTocFsZXqoNbgPAUiXKweXnE/VLNBYi0YQjO9aRFIA==" saltValue="Uwn4xh4BFhDBBJp6oLNp+A==" spinCount="100000" sqref="L89:L90 H1:H1048576 I8:I88 I91:I1048576" name="Indicadores"/>
  </protectedRanges>
  <mergeCells count="359">
    <mergeCell ref="I6:I7"/>
    <mergeCell ref="H2:Q3"/>
    <mergeCell ref="H4:Q4"/>
    <mergeCell ref="L69:M69"/>
    <mergeCell ref="L89:O90"/>
    <mergeCell ref="F94:F95"/>
    <mergeCell ref="D89:D90"/>
    <mergeCell ref="D91:D92"/>
    <mergeCell ref="G50:G51"/>
    <mergeCell ref="H6:H7"/>
    <mergeCell ref="H11:H12"/>
    <mergeCell ref="I11:I12"/>
    <mergeCell ref="H13:H14"/>
    <mergeCell ref="I13:I14"/>
    <mergeCell ref="H15:H16"/>
    <mergeCell ref="I15:I16"/>
    <mergeCell ref="H17:H18"/>
    <mergeCell ref="I17:I18"/>
    <mergeCell ref="H19:H20"/>
    <mergeCell ref="I19:I20"/>
    <mergeCell ref="H21:H22"/>
    <mergeCell ref="D94:D95"/>
    <mergeCell ref="D36:D37"/>
    <mergeCell ref="D39:D40"/>
    <mergeCell ref="I21:I22"/>
    <mergeCell ref="H23:H24"/>
    <mergeCell ref="I23:I24"/>
    <mergeCell ref="H25:H26"/>
    <mergeCell ref="I25:I26"/>
    <mergeCell ref="H27:H28"/>
    <mergeCell ref="I27:I28"/>
    <mergeCell ref="H29:H30"/>
    <mergeCell ref="I29:I30"/>
    <mergeCell ref="A1:G1"/>
    <mergeCell ref="A2:G2"/>
    <mergeCell ref="F6:F7"/>
    <mergeCell ref="F11:F12"/>
    <mergeCell ref="F13:F14"/>
    <mergeCell ref="B100:C100"/>
    <mergeCell ref="A89:A90"/>
    <mergeCell ref="C89:C90"/>
    <mergeCell ref="E89:E90"/>
    <mergeCell ref="G89:G90"/>
    <mergeCell ref="G91:G92"/>
    <mergeCell ref="A91:A92"/>
    <mergeCell ref="C91:C92"/>
    <mergeCell ref="E91:E92"/>
    <mergeCell ref="B86:C86"/>
    <mergeCell ref="A87:A88"/>
    <mergeCell ref="C87:C88"/>
    <mergeCell ref="E87:E88"/>
    <mergeCell ref="G87:G88"/>
    <mergeCell ref="F87:F88"/>
    <mergeCell ref="A82:A83"/>
    <mergeCell ref="D41:D42"/>
    <mergeCell ref="D43:D44"/>
    <mergeCell ref="D45:D46"/>
    <mergeCell ref="B93:C93"/>
    <mergeCell ref="A94:A95"/>
    <mergeCell ref="B94:C94"/>
    <mergeCell ref="E94:E95"/>
    <mergeCell ref="G94:G95"/>
    <mergeCell ref="B95:C95"/>
    <mergeCell ref="H32:H33"/>
    <mergeCell ref="I32:I33"/>
    <mergeCell ref="H34:H35"/>
    <mergeCell ref="D50:D51"/>
    <mergeCell ref="D52:D53"/>
    <mergeCell ref="F89:F90"/>
    <mergeCell ref="F91:F92"/>
    <mergeCell ref="D56:D57"/>
    <mergeCell ref="D58:D59"/>
    <mergeCell ref="D87:D88"/>
    <mergeCell ref="C82:C83"/>
    <mergeCell ref="E82:E83"/>
    <mergeCell ref="G82:G83"/>
    <mergeCell ref="A84:A85"/>
    <mergeCell ref="C84:C85"/>
    <mergeCell ref="E84:E85"/>
    <mergeCell ref="G84:G85"/>
    <mergeCell ref="F82:F83"/>
    <mergeCell ref="A103:A104"/>
    <mergeCell ref="C103:C104"/>
    <mergeCell ref="E103:E104"/>
    <mergeCell ref="G103:G104"/>
    <mergeCell ref="B96:C96"/>
    <mergeCell ref="B97:C97"/>
    <mergeCell ref="A98:A99"/>
    <mergeCell ref="C98:C99"/>
    <mergeCell ref="E98:E99"/>
    <mergeCell ref="G98:G99"/>
    <mergeCell ref="F98:F99"/>
    <mergeCell ref="F101:F102"/>
    <mergeCell ref="F103:F104"/>
    <mergeCell ref="D98:D99"/>
    <mergeCell ref="D101:D102"/>
    <mergeCell ref="D103:D104"/>
    <mergeCell ref="A101:A102"/>
    <mergeCell ref="C101:C102"/>
    <mergeCell ref="E101:E102"/>
    <mergeCell ref="G101:G102"/>
    <mergeCell ref="F84:F85"/>
    <mergeCell ref="D82:D83"/>
    <mergeCell ref="D84:D85"/>
    <mergeCell ref="A78:A79"/>
    <mergeCell ref="C78:C79"/>
    <mergeCell ref="E78:E79"/>
    <mergeCell ref="G78:G79"/>
    <mergeCell ref="A80:A81"/>
    <mergeCell ref="B80:C80"/>
    <mergeCell ref="E80:E81"/>
    <mergeCell ref="G80:G81"/>
    <mergeCell ref="B81:C81"/>
    <mergeCell ref="F80:F81"/>
    <mergeCell ref="D78:D79"/>
    <mergeCell ref="D80:D81"/>
    <mergeCell ref="F78:F79"/>
    <mergeCell ref="B75:C75"/>
    <mergeCell ref="A76:A77"/>
    <mergeCell ref="B76:C76"/>
    <mergeCell ref="E76:E77"/>
    <mergeCell ref="G76:G77"/>
    <mergeCell ref="B77:C77"/>
    <mergeCell ref="A71:A72"/>
    <mergeCell ref="C71:C72"/>
    <mergeCell ref="E71:E72"/>
    <mergeCell ref="G71:G72"/>
    <mergeCell ref="A73:A74"/>
    <mergeCell ref="C73:C74"/>
    <mergeCell ref="E73:E74"/>
    <mergeCell ref="G73:G74"/>
    <mergeCell ref="D71:D72"/>
    <mergeCell ref="D73:D74"/>
    <mergeCell ref="D76:D77"/>
    <mergeCell ref="F71:F72"/>
    <mergeCell ref="F73:F74"/>
    <mergeCell ref="F76:F77"/>
    <mergeCell ref="B68:C68"/>
    <mergeCell ref="A69:A70"/>
    <mergeCell ref="B69:C69"/>
    <mergeCell ref="E69:E70"/>
    <mergeCell ref="G69:G70"/>
    <mergeCell ref="B70:C70"/>
    <mergeCell ref="A64:A65"/>
    <mergeCell ref="C64:C65"/>
    <mergeCell ref="E64:E65"/>
    <mergeCell ref="G64:G65"/>
    <mergeCell ref="A66:A67"/>
    <mergeCell ref="B66:C66"/>
    <mergeCell ref="E66:E67"/>
    <mergeCell ref="G66:G67"/>
    <mergeCell ref="B67:C67"/>
    <mergeCell ref="F64:F65"/>
    <mergeCell ref="D64:D65"/>
    <mergeCell ref="D66:D67"/>
    <mergeCell ref="D69:D70"/>
    <mergeCell ref="F66:F67"/>
    <mergeCell ref="F69:F70"/>
    <mergeCell ref="B60:C60"/>
    <mergeCell ref="B61:C61"/>
    <mergeCell ref="A62:A63"/>
    <mergeCell ref="C62:C63"/>
    <mergeCell ref="E62:E63"/>
    <mergeCell ref="G62:G63"/>
    <mergeCell ref="F62:F63"/>
    <mergeCell ref="B55:C55"/>
    <mergeCell ref="A56:A57"/>
    <mergeCell ref="C56:C57"/>
    <mergeCell ref="E56:E57"/>
    <mergeCell ref="G56:G57"/>
    <mergeCell ref="A58:A59"/>
    <mergeCell ref="C58:C59"/>
    <mergeCell ref="E58:E59"/>
    <mergeCell ref="G58:G59"/>
    <mergeCell ref="F56:F57"/>
    <mergeCell ref="F58:F59"/>
    <mergeCell ref="D62:D63"/>
    <mergeCell ref="A52:A53"/>
    <mergeCell ref="C52:C53"/>
    <mergeCell ref="E52:E53"/>
    <mergeCell ref="G52:G53"/>
    <mergeCell ref="B54:C54"/>
    <mergeCell ref="B47:C47"/>
    <mergeCell ref="B48:C48"/>
    <mergeCell ref="B49:C49"/>
    <mergeCell ref="A50:A51"/>
    <mergeCell ref="C50:C51"/>
    <mergeCell ref="E50:E51"/>
    <mergeCell ref="F50:F51"/>
    <mergeCell ref="F52:F53"/>
    <mergeCell ref="A43:A44"/>
    <mergeCell ref="B43:C43"/>
    <mergeCell ref="E43:E44"/>
    <mergeCell ref="G43:G44"/>
    <mergeCell ref="B44:C44"/>
    <mergeCell ref="A45:A46"/>
    <mergeCell ref="C45:C46"/>
    <mergeCell ref="E45:E46"/>
    <mergeCell ref="G45:G46"/>
    <mergeCell ref="F45:F46"/>
    <mergeCell ref="F43:F44"/>
    <mergeCell ref="B38:C38"/>
    <mergeCell ref="A39:A40"/>
    <mergeCell ref="C39:C40"/>
    <mergeCell ref="E39:E40"/>
    <mergeCell ref="G39:G40"/>
    <mergeCell ref="A41:A42"/>
    <mergeCell ref="C41:C42"/>
    <mergeCell ref="E41:E42"/>
    <mergeCell ref="G41:G42"/>
    <mergeCell ref="F39:F40"/>
    <mergeCell ref="F41:F42"/>
    <mergeCell ref="A36:A37"/>
    <mergeCell ref="C36:C37"/>
    <mergeCell ref="E36:E37"/>
    <mergeCell ref="G36:G37"/>
    <mergeCell ref="A29:A30"/>
    <mergeCell ref="C29:C30"/>
    <mergeCell ref="E29:E30"/>
    <mergeCell ref="G29:G30"/>
    <mergeCell ref="B31:C31"/>
    <mergeCell ref="A32:A33"/>
    <mergeCell ref="C32:C33"/>
    <mergeCell ref="E32:E33"/>
    <mergeCell ref="G32:G33"/>
    <mergeCell ref="F29:F30"/>
    <mergeCell ref="F32:F33"/>
    <mergeCell ref="F34:F35"/>
    <mergeCell ref="F36:F37"/>
    <mergeCell ref="D29:D30"/>
    <mergeCell ref="D32:D33"/>
    <mergeCell ref="D34:D35"/>
    <mergeCell ref="A27:A28"/>
    <mergeCell ref="C27:C28"/>
    <mergeCell ref="E27:E28"/>
    <mergeCell ref="G27:G28"/>
    <mergeCell ref="F25:F26"/>
    <mergeCell ref="F27:F28"/>
    <mergeCell ref="D25:D26"/>
    <mergeCell ref="D27:D28"/>
    <mergeCell ref="A34:A35"/>
    <mergeCell ref="C34:C35"/>
    <mergeCell ref="E34:E35"/>
    <mergeCell ref="G34:G35"/>
    <mergeCell ref="A23:A24"/>
    <mergeCell ref="C23:C24"/>
    <mergeCell ref="E23:E24"/>
    <mergeCell ref="G23:G24"/>
    <mergeCell ref="F21:F22"/>
    <mergeCell ref="F23:F24"/>
    <mergeCell ref="A25:A26"/>
    <mergeCell ref="C25:C26"/>
    <mergeCell ref="E25:E26"/>
    <mergeCell ref="G25:G26"/>
    <mergeCell ref="D21:D22"/>
    <mergeCell ref="D23:D24"/>
    <mergeCell ref="C19:C20"/>
    <mergeCell ref="E19:E20"/>
    <mergeCell ref="G19:G20"/>
    <mergeCell ref="F17:F18"/>
    <mergeCell ref="F19:F20"/>
    <mergeCell ref="A21:A22"/>
    <mergeCell ref="C21:C22"/>
    <mergeCell ref="E21:E22"/>
    <mergeCell ref="G21:G22"/>
    <mergeCell ref="A19:A20"/>
    <mergeCell ref="D17:D18"/>
    <mergeCell ref="D19:D20"/>
    <mergeCell ref="A4:G4"/>
    <mergeCell ref="B5:C5"/>
    <mergeCell ref="A6:A7"/>
    <mergeCell ref="C6:C7"/>
    <mergeCell ref="E6:E7"/>
    <mergeCell ref="G6:G7"/>
    <mergeCell ref="A13:A14"/>
    <mergeCell ref="C13:C14"/>
    <mergeCell ref="E13:E14"/>
    <mergeCell ref="G13:G14"/>
    <mergeCell ref="A9:G9"/>
    <mergeCell ref="B10:C10"/>
    <mergeCell ref="A11:A12"/>
    <mergeCell ref="C11:C12"/>
    <mergeCell ref="E11:E12"/>
    <mergeCell ref="G11:G12"/>
    <mergeCell ref="D6:D7"/>
    <mergeCell ref="D11:D12"/>
    <mergeCell ref="D13:D14"/>
    <mergeCell ref="A15:A16"/>
    <mergeCell ref="B15:C15"/>
    <mergeCell ref="E15:E16"/>
    <mergeCell ref="G15:G16"/>
    <mergeCell ref="B16:C16"/>
    <mergeCell ref="F15:F16"/>
    <mergeCell ref="A17:A18"/>
    <mergeCell ref="C17:C18"/>
    <mergeCell ref="E17:E18"/>
    <mergeCell ref="G17:G18"/>
    <mergeCell ref="D15:D16"/>
    <mergeCell ref="I34:I35"/>
    <mergeCell ref="H36:H37"/>
    <mergeCell ref="I36:I37"/>
    <mergeCell ref="H39:H40"/>
    <mergeCell ref="I39:I40"/>
    <mergeCell ref="H41:H42"/>
    <mergeCell ref="I41:I42"/>
    <mergeCell ref="H43:H44"/>
    <mergeCell ref="I43:I44"/>
    <mergeCell ref="H45:H46"/>
    <mergeCell ref="I45:I46"/>
    <mergeCell ref="H50:H51"/>
    <mergeCell ref="I50:I51"/>
    <mergeCell ref="H52:H53"/>
    <mergeCell ref="I52:I53"/>
    <mergeCell ref="H56:H57"/>
    <mergeCell ref="I56:I57"/>
    <mergeCell ref="H58:H59"/>
    <mergeCell ref="I58:I59"/>
    <mergeCell ref="H82:H83"/>
    <mergeCell ref="I82:I83"/>
    <mergeCell ref="H84:H85"/>
    <mergeCell ref="I84:I85"/>
    <mergeCell ref="H87:H88"/>
    <mergeCell ref="I87:I88"/>
    <mergeCell ref="H66:H67"/>
    <mergeCell ref="H80:H81"/>
    <mergeCell ref="I80:I81"/>
    <mergeCell ref="I103:I104"/>
    <mergeCell ref="H89:H90"/>
    <mergeCell ref="H91:H92"/>
    <mergeCell ref="I91:I92"/>
    <mergeCell ref="H94:H95"/>
    <mergeCell ref="I94:I95"/>
    <mergeCell ref="I98:I99"/>
    <mergeCell ref="H101:H102"/>
    <mergeCell ref="I101:I102"/>
    <mergeCell ref="R5:AB5"/>
    <mergeCell ref="R11:AB11"/>
    <mergeCell ref="R14:AB14"/>
    <mergeCell ref="R4:AB4"/>
    <mergeCell ref="R18:AB37"/>
    <mergeCell ref="R64:AB64"/>
    <mergeCell ref="S89:AB89"/>
    <mergeCell ref="S94:AB104"/>
    <mergeCell ref="H69:H70"/>
    <mergeCell ref="I69:I70"/>
    <mergeCell ref="H71:H72"/>
    <mergeCell ref="I71:I72"/>
    <mergeCell ref="H73:H74"/>
    <mergeCell ref="I73:I74"/>
    <mergeCell ref="H76:H77"/>
    <mergeCell ref="I76:I77"/>
    <mergeCell ref="H78:H79"/>
    <mergeCell ref="I78:I79"/>
    <mergeCell ref="H62:H63"/>
    <mergeCell ref="I62:I63"/>
    <mergeCell ref="H64:H65"/>
    <mergeCell ref="I64:I65"/>
    <mergeCell ref="I66:I67"/>
    <mergeCell ref="H103:H104"/>
  </mergeCells>
  <phoneticPr fontId="20" type="noConversion"/>
  <pageMargins left="0.511811024" right="0.511811024" top="0.78740157499999996" bottom="0.78740157499999996" header="0.31496062000000002" footer="0.31496062000000002"/>
  <pageSetup paperSize="9" scale="18" orientation="portrait" r:id="rId1"/>
  <rowBreaks count="2" manualBreakCount="2">
    <brk id="60" max="4" man="1"/>
    <brk id="74" max="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5" filterMode="1">
    <tabColor rgb="FF00B050"/>
    <pageSetUpPr fitToPage="1"/>
  </sheetPr>
  <dimension ref="A1:AD28"/>
  <sheetViews>
    <sheetView showGridLines="0" topLeftCell="A4" zoomScale="58" zoomScaleNormal="58" zoomScaleSheetLayoutView="80" workbookViewId="0">
      <selection activeCell="J17" sqref="J17"/>
    </sheetView>
  </sheetViews>
  <sheetFormatPr defaultColWidth="9.109375" defaultRowHeight="19.8"/>
  <cols>
    <col min="1" max="1" width="29.88671875" style="251" bestFit="1" customWidth="1"/>
    <col min="2" max="2" width="13" style="251" bestFit="1" customWidth="1"/>
    <col min="3" max="3" width="41.6640625" style="251" customWidth="1"/>
    <col min="4" max="4" width="57" style="251" customWidth="1"/>
    <col min="5" max="5" width="41.44140625" style="251" customWidth="1"/>
    <col min="6" max="6" width="24.5546875" style="251" customWidth="1"/>
    <col min="7" max="7" width="24.6640625" style="251" customWidth="1"/>
    <col min="8" max="8" width="21.109375" style="251" customWidth="1"/>
    <col min="9" max="9" width="15" style="251" customWidth="1"/>
    <col min="10" max="10" width="29.44140625" style="251" customWidth="1"/>
    <col min="11" max="21" width="26.33203125" style="251" customWidth="1"/>
    <col min="22" max="28" width="9.109375" style="251"/>
    <col min="29" max="29" width="31" style="251" customWidth="1"/>
    <col min="30" max="16384" width="9.109375" style="251"/>
  </cols>
  <sheetData>
    <row r="1" spans="1:30" s="228" customFormat="1">
      <c r="A1" s="364" t="str">
        <f>'Indicadores e Metas'!A1</f>
        <v xml:space="preserve">CAU/UF:  </v>
      </c>
      <c r="B1" s="365"/>
      <c r="C1" s="365"/>
      <c r="D1" s="365"/>
      <c r="E1" s="365"/>
      <c r="F1" s="365"/>
      <c r="G1" s="365"/>
      <c r="H1" s="365"/>
      <c r="I1" s="365"/>
      <c r="J1" s="365"/>
    </row>
    <row r="2" spans="1:30" s="228" customFormat="1">
      <c r="A2" s="364" t="s">
        <v>357</v>
      </c>
      <c r="B2" s="365"/>
      <c r="C2" s="365"/>
      <c r="D2" s="365"/>
      <c r="E2" s="365"/>
      <c r="F2" s="365"/>
      <c r="G2" s="365"/>
      <c r="H2" s="365"/>
      <c r="I2" s="365"/>
      <c r="J2" s="365"/>
    </row>
    <row r="3" spans="1:30" s="230" customFormat="1">
      <c r="A3" s="229"/>
      <c r="B3" s="229"/>
      <c r="C3" s="229"/>
      <c r="D3" s="229"/>
      <c r="E3" s="229"/>
      <c r="F3" s="229"/>
      <c r="G3" s="229"/>
      <c r="H3" s="229"/>
      <c r="I3" s="229"/>
    </row>
    <row r="4" spans="1:30" s="228" customFormat="1">
      <c r="A4" s="361" t="s">
        <v>48</v>
      </c>
      <c r="B4" s="362"/>
      <c r="C4" s="362"/>
      <c r="D4" s="362"/>
      <c r="E4" s="362"/>
      <c r="F4" s="362"/>
      <c r="G4" s="362"/>
      <c r="H4" s="362"/>
      <c r="I4" s="362"/>
      <c r="J4" s="363"/>
    </row>
    <row r="5" spans="1:30" s="228" customFormat="1" ht="26.25" customHeight="1" thickBot="1">
      <c r="A5" s="358" t="s">
        <v>1</v>
      </c>
      <c r="B5" s="353" t="s">
        <v>353</v>
      </c>
      <c r="C5" s="353" t="s">
        <v>2</v>
      </c>
      <c r="D5" s="353" t="s">
        <v>28</v>
      </c>
      <c r="E5" s="352" t="s">
        <v>354</v>
      </c>
      <c r="F5" s="352" t="s">
        <v>370</v>
      </c>
      <c r="G5" s="352" t="s">
        <v>371</v>
      </c>
      <c r="H5" s="352" t="s">
        <v>372</v>
      </c>
      <c r="I5" s="231" t="s">
        <v>361</v>
      </c>
      <c r="J5" s="360" t="s">
        <v>351</v>
      </c>
      <c r="K5" s="373" t="s">
        <v>1</v>
      </c>
      <c r="L5" s="375" t="s">
        <v>353</v>
      </c>
      <c r="M5" s="375" t="s">
        <v>2</v>
      </c>
      <c r="N5" s="375" t="s">
        <v>28</v>
      </c>
      <c r="O5" s="377" t="s">
        <v>354</v>
      </c>
      <c r="P5" s="377" t="s">
        <v>370</v>
      </c>
      <c r="Q5" s="377" t="s">
        <v>371</v>
      </c>
      <c r="R5" s="377" t="s">
        <v>372</v>
      </c>
      <c r="V5" s="232" t="s">
        <v>369</v>
      </c>
      <c r="W5" s="233"/>
      <c r="X5" s="233"/>
      <c r="Y5" s="233"/>
      <c r="Z5" s="233"/>
      <c r="AA5" s="233"/>
      <c r="AB5" s="233"/>
      <c r="AC5" s="234"/>
    </row>
    <row r="6" spans="1:30" s="228" customFormat="1" ht="48.75" customHeight="1">
      <c r="A6" s="359"/>
      <c r="B6" s="360"/>
      <c r="C6" s="360"/>
      <c r="D6" s="360"/>
      <c r="E6" s="353"/>
      <c r="F6" s="353"/>
      <c r="G6" s="353"/>
      <c r="H6" s="353"/>
      <c r="I6" s="235" t="s">
        <v>373</v>
      </c>
      <c r="J6" s="360"/>
      <c r="K6" s="374"/>
      <c r="L6" s="376"/>
      <c r="M6" s="376"/>
      <c r="N6" s="376"/>
      <c r="O6" s="375"/>
      <c r="P6" s="375"/>
      <c r="Q6" s="375"/>
      <c r="R6" s="375"/>
      <c r="V6" s="366" t="s">
        <v>680</v>
      </c>
      <c r="W6" s="367"/>
      <c r="X6" s="367"/>
      <c r="Y6" s="367"/>
      <c r="Z6" s="367"/>
      <c r="AA6" s="367"/>
      <c r="AB6" s="367"/>
      <c r="AC6" s="368"/>
    </row>
    <row r="7" spans="1:30" s="228" customFormat="1" ht="79.2">
      <c r="A7" s="236" t="s">
        <v>523</v>
      </c>
      <c r="B7" s="237" t="s">
        <v>236</v>
      </c>
      <c r="C7" s="238" t="s">
        <v>506</v>
      </c>
      <c r="D7" s="238" t="s">
        <v>15</v>
      </c>
      <c r="E7" s="238" t="s">
        <v>525</v>
      </c>
      <c r="F7" s="239">
        <v>396647.19</v>
      </c>
      <c r="G7" s="239">
        <f>'Empenhos e Pagamentos'!B311</f>
        <v>396647.19</v>
      </c>
      <c r="H7" s="239">
        <f>'Empenhos e Pagamentos'!C311</f>
        <v>390941.79</v>
      </c>
      <c r="I7" s="240">
        <f>IFERROR(H7/G7*100,)</f>
        <v>98.561593238565479</v>
      </c>
      <c r="J7" s="241" t="s">
        <v>641</v>
      </c>
      <c r="K7" s="228" t="b">
        <f>A7='[3]Quadro Geral'!A9</f>
        <v>1</v>
      </c>
      <c r="L7" s="228" t="b">
        <f>B7='[3]Quadro Geral'!B9</f>
        <v>1</v>
      </c>
      <c r="M7" s="228" t="b">
        <f>C7='[3]Quadro Geral'!E9</f>
        <v>1</v>
      </c>
      <c r="N7" s="228" t="b">
        <f>D7='[3]Quadro Geral'!G9</f>
        <v>1</v>
      </c>
      <c r="O7" s="228" t="b">
        <f>E7='[3]Quadro Geral'!I9</f>
        <v>1</v>
      </c>
      <c r="P7" s="228" t="b">
        <f>F7='[3]Quadro Geral'!M9</f>
        <v>1</v>
      </c>
      <c r="Q7" s="228" t="b">
        <f>G7='Empenhos e Pagamentos'!B311</f>
        <v>1</v>
      </c>
      <c r="R7" s="228" t="b">
        <f>H7='Empenhos e Pagamentos'!C311</f>
        <v>1</v>
      </c>
      <c r="V7" s="366"/>
      <c r="W7" s="367"/>
      <c r="X7" s="367"/>
      <c r="Y7" s="367"/>
      <c r="Z7" s="367"/>
      <c r="AA7" s="367"/>
      <c r="AB7" s="367"/>
      <c r="AC7" s="368"/>
    </row>
    <row r="8" spans="1:30" s="228" customFormat="1" ht="79.2">
      <c r="A8" s="236" t="s">
        <v>523</v>
      </c>
      <c r="B8" s="237" t="s">
        <v>236</v>
      </c>
      <c r="C8" s="238" t="s">
        <v>507</v>
      </c>
      <c r="D8" s="238" t="s">
        <v>24</v>
      </c>
      <c r="E8" s="238" t="s">
        <v>526</v>
      </c>
      <c r="F8" s="239">
        <v>388912.82</v>
      </c>
      <c r="G8" s="239">
        <f>'Empenhos e Pagamentos'!B171</f>
        <v>388912.82</v>
      </c>
      <c r="H8" s="239">
        <f>'Empenhos e Pagamentos'!C171</f>
        <v>353352.44</v>
      </c>
      <c r="I8" s="240">
        <f t="shared" ref="I8:I24" si="0">IFERROR(H8/G8*100,)</f>
        <v>90.856464952736701</v>
      </c>
      <c r="J8" s="241" t="s">
        <v>641</v>
      </c>
      <c r="K8" s="228" t="b">
        <f>A8='[3]Quadro Geral'!A10</f>
        <v>1</v>
      </c>
      <c r="L8" s="228" t="b">
        <f>B8='[3]Quadro Geral'!B10</f>
        <v>1</v>
      </c>
      <c r="M8" s="228" t="b">
        <f>C8='[3]Quadro Geral'!E10</f>
        <v>1</v>
      </c>
      <c r="N8" s="228" t="b">
        <f>D8='[3]Quadro Geral'!G10</f>
        <v>1</v>
      </c>
      <c r="O8" s="228" t="b">
        <f>E8='[3]Quadro Geral'!I10</f>
        <v>1</v>
      </c>
      <c r="P8" s="228" t="b">
        <f>F8='[3]Quadro Geral'!M10</f>
        <v>1</v>
      </c>
      <c r="Q8" s="228" t="b">
        <f>G8='Empenhos e Pagamentos'!B171</f>
        <v>1</v>
      </c>
      <c r="R8" s="228" t="b">
        <f>H8='Empenhos e Pagamentos'!C171</f>
        <v>1</v>
      </c>
      <c r="V8" s="369"/>
      <c r="W8" s="370"/>
      <c r="X8" s="370"/>
      <c r="Y8" s="370"/>
      <c r="Z8" s="370"/>
      <c r="AA8" s="370"/>
      <c r="AB8" s="370"/>
      <c r="AC8" s="371"/>
    </row>
    <row r="9" spans="1:30" s="228" customFormat="1" ht="99">
      <c r="A9" s="236" t="s">
        <v>524</v>
      </c>
      <c r="B9" s="237" t="s">
        <v>236</v>
      </c>
      <c r="C9" s="238" t="s">
        <v>508</v>
      </c>
      <c r="D9" s="242" t="s">
        <v>20</v>
      </c>
      <c r="E9" s="238" t="s">
        <v>527</v>
      </c>
      <c r="F9" s="239">
        <v>94613</v>
      </c>
      <c r="G9" s="239">
        <f>'Empenhos e Pagamentos'!B65</f>
        <v>94613</v>
      </c>
      <c r="H9" s="239">
        <f>'Empenhos e Pagamentos'!C65</f>
        <v>79762.77</v>
      </c>
      <c r="I9" s="240">
        <f t="shared" si="0"/>
        <v>84.304239375138721</v>
      </c>
      <c r="J9" s="241" t="s">
        <v>641</v>
      </c>
      <c r="K9" s="228" t="b">
        <f>A9='[3]Quadro Geral'!A11</f>
        <v>1</v>
      </c>
      <c r="L9" s="228" t="b">
        <f>B9='[3]Quadro Geral'!B11</f>
        <v>1</v>
      </c>
      <c r="M9" s="228" t="b">
        <f>C9='[3]Quadro Geral'!E11</f>
        <v>1</v>
      </c>
      <c r="N9" s="228" t="b">
        <f>D9='[3]Quadro Geral'!G11</f>
        <v>1</v>
      </c>
      <c r="O9" s="228" t="b">
        <f>E9='[3]Quadro Geral'!I11</f>
        <v>1</v>
      </c>
      <c r="P9" s="228" t="b">
        <f>F9='[3]Quadro Geral'!M11</f>
        <v>1</v>
      </c>
      <c r="Q9" s="228" t="b">
        <f>G9='Empenhos e Pagamentos'!B65</f>
        <v>1</v>
      </c>
      <c r="R9" s="228" t="b">
        <f>H9='Empenhos e Pagamentos'!C65</f>
        <v>1</v>
      </c>
      <c r="V9" s="243"/>
      <c r="W9" s="244"/>
      <c r="X9" s="244"/>
      <c r="Y9" s="244"/>
      <c r="Z9" s="244"/>
      <c r="AA9" s="244"/>
      <c r="AB9" s="244"/>
      <c r="AC9" s="244"/>
      <c r="AD9" s="245"/>
    </row>
    <row r="10" spans="1:30" s="228" customFormat="1" ht="99">
      <c r="A10" s="236" t="s">
        <v>523</v>
      </c>
      <c r="B10" s="237" t="s">
        <v>236</v>
      </c>
      <c r="C10" s="238" t="s">
        <v>509</v>
      </c>
      <c r="D10" s="242" t="s">
        <v>83</v>
      </c>
      <c r="E10" s="238" t="s">
        <v>528</v>
      </c>
      <c r="F10" s="239">
        <v>159487.04000000001</v>
      </c>
      <c r="G10" s="239">
        <f>'Empenhos e Pagamentos'!B367</f>
        <v>159487.04000000001</v>
      </c>
      <c r="H10" s="239">
        <f>'Empenhos e Pagamentos'!C367</f>
        <v>136359.96</v>
      </c>
      <c r="I10" s="240">
        <f t="shared" si="0"/>
        <v>85.499085066723907</v>
      </c>
      <c r="J10" s="241" t="s">
        <v>641</v>
      </c>
      <c r="K10" s="228" t="b">
        <f>A10='[3]Quadro Geral'!A12</f>
        <v>1</v>
      </c>
      <c r="L10" s="228" t="b">
        <f>B10='[3]Quadro Geral'!B12</f>
        <v>1</v>
      </c>
      <c r="M10" s="228" t="b">
        <f>C10='[3]Quadro Geral'!E12</f>
        <v>1</v>
      </c>
      <c r="N10" s="228" t="b">
        <f>D10='[3]Quadro Geral'!G12</f>
        <v>1</v>
      </c>
      <c r="O10" s="228" t="b">
        <f>E10='[3]Quadro Geral'!I12</f>
        <v>1</v>
      </c>
      <c r="P10" s="228" t="b">
        <f>F10='[3]Quadro Geral'!M12</f>
        <v>1</v>
      </c>
      <c r="Q10" s="228" t="b">
        <f>G10='Empenhos e Pagamentos'!B367</f>
        <v>1</v>
      </c>
      <c r="R10" s="228" t="b">
        <f>H10='Empenhos e Pagamentos'!C367</f>
        <v>1</v>
      </c>
      <c r="V10" s="372"/>
      <c r="W10" s="372"/>
      <c r="X10" s="372"/>
      <c r="Y10" s="372"/>
      <c r="Z10" s="372"/>
      <c r="AA10" s="372"/>
      <c r="AB10" s="372"/>
      <c r="AC10" s="372"/>
    </row>
    <row r="11" spans="1:30" s="228" customFormat="1" ht="118.8">
      <c r="A11" s="236" t="s">
        <v>524</v>
      </c>
      <c r="B11" s="237" t="s">
        <v>236</v>
      </c>
      <c r="C11" s="238" t="s">
        <v>510</v>
      </c>
      <c r="D11" s="238" t="s">
        <v>89</v>
      </c>
      <c r="E11" s="238" t="s">
        <v>529</v>
      </c>
      <c r="F11" s="239">
        <v>11380</v>
      </c>
      <c r="G11" s="239">
        <f>'Empenhos e Pagamentos'!B27</f>
        <v>11380</v>
      </c>
      <c r="H11" s="239">
        <f>'Empenhos e Pagamentos'!C27</f>
        <v>7691.56</v>
      </c>
      <c r="I11" s="240">
        <f t="shared" si="0"/>
        <v>67.588400702987713</v>
      </c>
      <c r="J11" s="241" t="s">
        <v>642</v>
      </c>
      <c r="K11" s="228" t="b">
        <f>A11='[3]Quadro Geral'!A13</f>
        <v>1</v>
      </c>
      <c r="L11" s="228" t="b">
        <f>B11='[3]Quadro Geral'!B13</f>
        <v>1</v>
      </c>
      <c r="M11" s="228" t="b">
        <f>C11='[3]Quadro Geral'!E13</f>
        <v>1</v>
      </c>
      <c r="N11" s="228" t="b">
        <f>D11='[3]Quadro Geral'!G13</f>
        <v>1</v>
      </c>
      <c r="O11" s="228" t="b">
        <f>E11='[3]Quadro Geral'!I13</f>
        <v>1</v>
      </c>
      <c r="P11" s="228" t="b">
        <f>F11='[3]Quadro Geral'!M13</f>
        <v>1</v>
      </c>
      <c r="Q11" s="228" t="b">
        <f>G11='Empenhos e Pagamentos'!B27</f>
        <v>1</v>
      </c>
      <c r="R11" s="228" t="b">
        <f>H11='Empenhos e Pagamentos'!C27</f>
        <v>1</v>
      </c>
      <c r="V11" s="246"/>
      <c r="W11" s="246"/>
      <c r="X11" s="246"/>
      <c r="Y11" s="246"/>
      <c r="Z11" s="246"/>
      <c r="AA11" s="246"/>
      <c r="AB11" s="246"/>
      <c r="AC11" s="246"/>
    </row>
    <row r="12" spans="1:30" s="228" customFormat="1" ht="79.2">
      <c r="A12" s="236" t="s">
        <v>523</v>
      </c>
      <c r="B12" s="237" t="s">
        <v>236</v>
      </c>
      <c r="C12" s="238" t="s">
        <v>511</v>
      </c>
      <c r="D12" s="238" t="s">
        <v>15</v>
      </c>
      <c r="E12" s="238" t="s">
        <v>530</v>
      </c>
      <c r="F12" s="239">
        <v>69884.490000000005</v>
      </c>
      <c r="G12" s="239">
        <f>'Empenhos e Pagamentos'!B419</f>
        <v>69884.490000000005</v>
      </c>
      <c r="H12" s="239">
        <f>'Empenhos e Pagamentos'!C419</f>
        <v>69884.479999999996</v>
      </c>
      <c r="I12" s="240">
        <f t="shared" si="0"/>
        <v>99.99998569067327</v>
      </c>
      <c r="J12" s="241" t="s">
        <v>641</v>
      </c>
      <c r="K12" s="228" t="b">
        <f>A12='[3]Quadro Geral'!A14</f>
        <v>1</v>
      </c>
      <c r="L12" s="228" t="b">
        <f>B12='[3]Quadro Geral'!B14</f>
        <v>1</v>
      </c>
      <c r="M12" s="228" t="b">
        <f>C12='[3]Quadro Geral'!E14</f>
        <v>1</v>
      </c>
      <c r="N12" s="228" t="b">
        <f>D12='[3]Quadro Geral'!G14</f>
        <v>1</v>
      </c>
      <c r="O12" s="228" t="b">
        <f>E12='[3]Quadro Geral'!I14</f>
        <v>1</v>
      </c>
      <c r="P12" s="228" t="b">
        <f>F12='[3]Quadro Geral'!M14</f>
        <v>1</v>
      </c>
      <c r="Q12" s="228" t="b">
        <f>G12='Empenhos e Pagamentos'!B419</f>
        <v>1</v>
      </c>
      <c r="R12" s="228" t="b">
        <f>H12='Empenhos e Pagamentos'!C419</f>
        <v>1</v>
      </c>
    </row>
    <row r="13" spans="1:30" s="228" customFormat="1" ht="99">
      <c r="A13" s="236" t="s">
        <v>523</v>
      </c>
      <c r="B13" s="237" t="s">
        <v>236</v>
      </c>
      <c r="C13" s="238" t="s">
        <v>512</v>
      </c>
      <c r="D13" s="242" t="s">
        <v>83</v>
      </c>
      <c r="E13" s="238" t="s">
        <v>531</v>
      </c>
      <c r="F13" s="239">
        <v>10199.719999999999</v>
      </c>
      <c r="G13" s="239">
        <f>'Empenhos e Pagamentos'!B429</f>
        <v>10199.719999999999</v>
      </c>
      <c r="H13" s="239">
        <f>'Empenhos e Pagamentos'!C429</f>
        <v>10199.719999999999</v>
      </c>
      <c r="I13" s="240">
        <f t="shared" si="0"/>
        <v>100</v>
      </c>
      <c r="J13" s="241" t="s">
        <v>641</v>
      </c>
      <c r="K13" s="228" t="b">
        <f>A13='[3]Quadro Geral'!A15</f>
        <v>1</v>
      </c>
      <c r="L13" s="228" t="b">
        <f>B13='[3]Quadro Geral'!B15</f>
        <v>1</v>
      </c>
      <c r="M13" s="228" t="b">
        <f>C13='[3]Quadro Geral'!E15</f>
        <v>1</v>
      </c>
      <c r="N13" s="228" t="b">
        <f>D13='[3]Quadro Geral'!G15</f>
        <v>1</v>
      </c>
      <c r="O13" s="228" t="b">
        <f>E13='[3]Quadro Geral'!I15</f>
        <v>1</v>
      </c>
      <c r="P13" s="228" t="b">
        <f>F13='[3]Quadro Geral'!M15</f>
        <v>1</v>
      </c>
      <c r="Q13" s="228" t="b">
        <f>G13='Empenhos e Pagamentos'!B429</f>
        <v>1</v>
      </c>
      <c r="R13" s="228" t="b">
        <f>H13='Empenhos e Pagamentos'!C429</f>
        <v>1</v>
      </c>
    </row>
    <row r="14" spans="1:30" s="228" customFormat="1" ht="99">
      <c r="A14" s="236" t="s">
        <v>523</v>
      </c>
      <c r="B14" s="237" t="s">
        <v>236</v>
      </c>
      <c r="C14" s="238" t="s">
        <v>513</v>
      </c>
      <c r="D14" s="238" t="s">
        <v>23</v>
      </c>
      <c r="E14" s="238" t="s">
        <v>532</v>
      </c>
      <c r="F14" s="239">
        <v>7745.33</v>
      </c>
      <c r="G14" s="239">
        <f>'Empenhos e Pagamentos'!B283</f>
        <v>7745.33</v>
      </c>
      <c r="H14" s="239">
        <f>'Empenhos e Pagamentos'!C283</f>
        <v>7411.82</v>
      </c>
      <c r="I14" s="240">
        <f t="shared" si="0"/>
        <v>95.694050479450198</v>
      </c>
      <c r="J14" s="241" t="s">
        <v>641</v>
      </c>
      <c r="K14" s="228" t="b">
        <f>A14='[3]Quadro Geral'!A16</f>
        <v>1</v>
      </c>
      <c r="L14" s="228" t="b">
        <f>B14='[3]Quadro Geral'!B16</f>
        <v>1</v>
      </c>
      <c r="M14" s="228" t="b">
        <f>C14='[3]Quadro Geral'!E16</f>
        <v>1</v>
      </c>
      <c r="N14" s="228" t="b">
        <f>D14='[3]Quadro Geral'!G16</f>
        <v>1</v>
      </c>
      <c r="O14" s="228" t="b">
        <f>E14='[3]Quadro Geral'!I16</f>
        <v>1</v>
      </c>
      <c r="P14" s="228" t="b">
        <f>F14='[3]Quadro Geral'!M16</f>
        <v>1</v>
      </c>
      <c r="Q14" s="228" t="b">
        <f>G14='Empenhos e Pagamentos'!B291</f>
        <v>1</v>
      </c>
      <c r="R14" s="228" t="b">
        <f>H14='Empenhos e Pagamentos'!C291</f>
        <v>1</v>
      </c>
    </row>
    <row r="15" spans="1:30" s="228" customFormat="1" ht="99">
      <c r="A15" s="236" t="s">
        <v>523</v>
      </c>
      <c r="B15" s="237" t="s">
        <v>236</v>
      </c>
      <c r="C15" s="238" t="s">
        <v>514</v>
      </c>
      <c r="D15" s="238" t="s">
        <v>23</v>
      </c>
      <c r="E15" s="238" t="s">
        <v>533</v>
      </c>
      <c r="F15" s="239">
        <v>22540.66</v>
      </c>
      <c r="G15" s="239">
        <f>'Empenhos e Pagamentos'!B273</f>
        <v>22540.66</v>
      </c>
      <c r="H15" s="239">
        <f>'Empenhos e Pagamentos'!C273</f>
        <v>22540.66</v>
      </c>
      <c r="I15" s="240">
        <f t="shared" si="0"/>
        <v>100</v>
      </c>
      <c r="J15" s="241" t="s">
        <v>641</v>
      </c>
      <c r="K15" s="228" t="b">
        <f>A15='[3]Quadro Geral'!A17</f>
        <v>1</v>
      </c>
      <c r="L15" s="228" t="b">
        <f>B15='[3]Quadro Geral'!B17</f>
        <v>1</v>
      </c>
      <c r="M15" s="228" t="b">
        <f>C15='[3]Quadro Geral'!E17</f>
        <v>1</v>
      </c>
      <c r="N15" s="228" t="b">
        <f>D15='[3]Quadro Geral'!G17</f>
        <v>1</v>
      </c>
      <c r="O15" s="228" t="b">
        <f>E15='[3]Quadro Geral'!I17</f>
        <v>1</v>
      </c>
      <c r="P15" s="228" t="b">
        <f>F15='[3]Quadro Geral'!M17</f>
        <v>1</v>
      </c>
      <c r="Q15" s="228" t="b">
        <f>G15='Empenhos e Pagamentos'!B279</f>
        <v>1</v>
      </c>
      <c r="R15" s="228" t="b">
        <f>H15='Empenhos e Pagamentos'!C279</f>
        <v>1</v>
      </c>
    </row>
    <row r="16" spans="1:30" s="228" customFormat="1" ht="59.4">
      <c r="A16" s="236" t="s">
        <v>524</v>
      </c>
      <c r="B16" s="237" t="s">
        <v>239</v>
      </c>
      <c r="C16" s="238" t="s">
        <v>515</v>
      </c>
      <c r="D16" s="238" t="s">
        <v>24</v>
      </c>
      <c r="E16" s="238" t="s">
        <v>534</v>
      </c>
      <c r="F16" s="239">
        <v>10440</v>
      </c>
      <c r="G16" s="239">
        <f>'Empenhos e Pagamentos'!B55</f>
        <v>10440</v>
      </c>
      <c r="H16" s="239">
        <f>'Empenhos e Pagamentos'!C55</f>
        <v>0</v>
      </c>
      <c r="I16" s="240">
        <f t="shared" si="0"/>
        <v>0</v>
      </c>
      <c r="J16" s="241" t="s">
        <v>352</v>
      </c>
      <c r="K16" s="228" t="b">
        <f>A16='[3]Quadro Geral'!A18</f>
        <v>1</v>
      </c>
      <c r="L16" s="228" t="b">
        <f>B16='[3]Quadro Geral'!B18</f>
        <v>0</v>
      </c>
      <c r="M16" s="228" t="b">
        <f>C16='[3]Quadro Geral'!E18</f>
        <v>1</v>
      </c>
      <c r="N16" s="228" t="b">
        <f>D16='[3]Quadro Geral'!G18</f>
        <v>1</v>
      </c>
      <c r="O16" s="228" t="b">
        <f>E16='[3]Quadro Geral'!I18</f>
        <v>1</v>
      </c>
      <c r="P16" s="228" t="b">
        <f>F16='[3]Quadro Geral'!M18</f>
        <v>1</v>
      </c>
      <c r="Q16" s="228" t="b">
        <f>G16='Empenhos e Pagamentos'!B55</f>
        <v>1</v>
      </c>
      <c r="R16" s="228" t="b">
        <f>H16='Empenhos e Pagamentos'!C55</f>
        <v>1</v>
      </c>
    </row>
    <row r="17" spans="1:18" s="228" customFormat="1" ht="178.2">
      <c r="A17" s="236" t="s">
        <v>524</v>
      </c>
      <c r="B17" s="237" t="s">
        <v>239</v>
      </c>
      <c r="C17" s="238" t="s">
        <v>516</v>
      </c>
      <c r="D17" s="242" t="s">
        <v>21</v>
      </c>
      <c r="E17" s="238" t="s">
        <v>535</v>
      </c>
      <c r="F17" s="239">
        <v>27175</v>
      </c>
      <c r="G17" s="239">
        <f>'Empenhos e Pagamentos'!B113</f>
        <v>27175</v>
      </c>
      <c r="H17" s="239">
        <f>'Empenhos e Pagamentos'!C113</f>
        <v>0</v>
      </c>
      <c r="I17" s="240">
        <f t="shared" si="0"/>
        <v>0</v>
      </c>
      <c r="J17" s="241" t="s">
        <v>352</v>
      </c>
      <c r="K17" s="228" t="b">
        <f>A17='[3]Quadro Geral'!A19</f>
        <v>1</v>
      </c>
      <c r="L17" s="228" t="b">
        <f>B17='[3]Quadro Geral'!B19</f>
        <v>0</v>
      </c>
      <c r="M17" s="228" t="b">
        <f>C17='[3]Quadro Geral'!E19</f>
        <v>1</v>
      </c>
      <c r="N17" s="228" t="b">
        <f>D17='[3]Quadro Geral'!G19</f>
        <v>1</v>
      </c>
      <c r="O17" s="228" t="b">
        <f>E17='[3]Quadro Geral'!I19</f>
        <v>1</v>
      </c>
      <c r="P17" s="228" t="b">
        <f>F17='[3]Quadro Geral'!M19</f>
        <v>1</v>
      </c>
      <c r="Q17" s="228" t="b">
        <f>G17='Empenhos e Pagamentos'!B113</f>
        <v>1</v>
      </c>
      <c r="R17" s="228" t="b">
        <f>H17='Empenhos e Pagamentos'!C113</f>
        <v>1</v>
      </c>
    </row>
    <row r="18" spans="1:18" s="228" customFormat="1" ht="79.2" hidden="1">
      <c r="A18" s="252" t="s">
        <v>524</v>
      </c>
      <c r="B18" s="253" t="s">
        <v>239</v>
      </c>
      <c r="C18" s="254" t="s">
        <v>517</v>
      </c>
      <c r="D18" s="254" t="s">
        <v>17</v>
      </c>
      <c r="E18" s="254" t="s">
        <v>536</v>
      </c>
      <c r="F18" s="255">
        <v>0</v>
      </c>
      <c r="G18" s="255">
        <v>0</v>
      </c>
      <c r="H18" s="255">
        <v>0</v>
      </c>
      <c r="I18" s="256">
        <f t="shared" si="0"/>
        <v>0</v>
      </c>
      <c r="J18" s="254" t="s">
        <v>643</v>
      </c>
      <c r="K18" s="228" t="b">
        <f>A18='[3]Quadro Geral'!A20</f>
        <v>1</v>
      </c>
      <c r="L18" s="228" t="b">
        <f>B18=[4]FORM.2!$B$19</f>
        <v>1</v>
      </c>
      <c r="M18" s="228" t="b">
        <f>C18='[3]Quadro Geral'!E20</f>
        <v>1</v>
      </c>
      <c r="N18" s="228" t="b">
        <f>D18='[3]Quadro Geral'!G20</f>
        <v>1</v>
      </c>
      <c r="O18" s="228" t="b">
        <f>E18='[3]Quadro Geral'!I20</f>
        <v>1</v>
      </c>
      <c r="P18" s="228" t="b">
        <f>F18='[3]Quadro Geral'!M20</f>
        <v>1</v>
      </c>
    </row>
    <row r="19" spans="1:18" s="228" customFormat="1" ht="79.2">
      <c r="A19" s="236" t="s">
        <v>524</v>
      </c>
      <c r="B19" s="237" t="s">
        <v>239</v>
      </c>
      <c r="C19" s="238" t="s">
        <v>518</v>
      </c>
      <c r="D19" s="238" t="s">
        <v>23</v>
      </c>
      <c r="E19" s="238" t="s">
        <v>537</v>
      </c>
      <c r="F19" s="239">
        <v>5000</v>
      </c>
      <c r="G19" s="239">
        <f>'Empenhos e Pagamentos'!B123</f>
        <v>5000</v>
      </c>
      <c r="H19" s="239">
        <f>'Empenhos e Pagamentos'!C123</f>
        <v>0</v>
      </c>
      <c r="I19" s="240">
        <f t="shared" si="0"/>
        <v>0</v>
      </c>
      <c r="J19" s="241" t="s">
        <v>352</v>
      </c>
      <c r="K19" s="228" t="b">
        <f>A19='[3]Quadro Geral'!A21</f>
        <v>1</v>
      </c>
      <c r="L19" s="228" t="b">
        <f>B19='[3]Quadro Geral'!B21</f>
        <v>0</v>
      </c>
      <c r="M19" s="228" t="b">
        <f>C19='[3]Quadro Geral'!E21</f>
        <v>1</v>
      </c>
      <c r="N19" s="228" t="b">
        <f>D19='[3]Quadro Geral'!G21</f>
        <v>1</v>
      </c>
      <c r="O19" s="228" t="b">
        <f>E19='[3]Quadro Geral'!I21</f>
        <v>1</v>
      </c>
      <c r="P19" s="228" t="b">
        <f>F19='[3]Quadro Geral'!M21</f>
        <v>1</v>
      </c>
      <c r="Q19" s="228" t="b">
        <f>G19='Empenhos e Pagamentos'!B123</f>
        <v>1</v>
      </c>
      <c r="R19" s="228" t="b">
        <f>H19='Empenhos e Pagamentos'!C123</f>
        <v>1</v>
      </c>
    </row>
    <row r="20" spans="1:18" s="228" customFormat="1" ht="138.6">
      <c r="A20" s="236" t="s">
        <v>524</v>
      </c>
      <c r="B20" s="237" t="s">
        <v>235</v>
      </c>
      <c r="C20" s="238" t="s">
        <v>519</v>
      </c>
      <c r="D20" s="238" t="s">
        <v>25</v>
      </c>
      <c r="E20" s="238" t="s">
        <v>538</v>
      </c>
      <c r="F20" s="239">
        <v>19250</v>
      </c>
      <c r="G20" s="239">
        <f>'Empenhos e Pagamentos'!B133</f>
        <v>19250</v>
      </c>
      <c r="H20" s="239">
        <f>'Empenhos e Pagamentos'!C133</f>
        <v>19250</v>
      </c>
      <c r="I20" s="240">
        <f t="shared" si="0"/>
        <v>100</v>
      </c>
      <c r="J20" s="241" t="s">
        <v>641</v>
      </c>
      <c r="K20" s="228" t="b">
        <f>A20='[3]Quadro Geral'!A22</f>
        <v>1</v>
      </c>
      <c r="L20" s="228" t="b">
        <f>B20='[3]Quadro Geral'!B22</f>
        <v>1</v>
      </c>
      <c r="M20" s="228" t="b">
        <f>C20='[3]Quadro Geral'!E22</f>
        <v>1</v>
      </c>
      <c r="N20" s="228" t="b">
        <f>D20='[3]Quadro Geral'!G22</f>
        <v>1</v>
      </c>
      <c r="O20" s="228" t="b">
        <f>E20='[3]Quadro Geral'!I22</f>
        <v>1</v>
      </c>
      <c r="P20" s="228" t="b">
        <f>F20='[3]Quadro Geral'!M22</f>
        <v>1</v>
      </c>
      <c r="Q20" s="228" t="b">
        <f>F20='Empenhos e Pagamentos'!B133</f>
        <v>1</v>
      </c>
      <c r="R20" s="228" t="b">
        <f>G20='Empenhos e Pagamentos'!C133</f>
        <v>1</v>
      </c>
    </row>
    <row r="21" spans="1:18" s="228" customFormat="1" ht="178.2">
      <c r="A21" s="236" t="s">
        <v>524</v>
      </c>
      <c r="B21" s="237" t="s">
        <v>235</v>
      </c>
      <c r="C21" s="238" t="s">
        <v>520</v>
      </c>
      <c r="D21" s="238" t="s">
        <v>22</v>
      </c>
      <c r="E21" s="238" t="s">
        <v>681</v>
      </c>
      <c r="F21" s="239">
        <v>25680</v>
      </c>
      <c r="G21" s="239">
        <f>'Empenhos e Pagamentos'!B147</f>
        <v>25680</v>
      </c>
      <c r="H21" s="239">
        <f>'Empenhos e Pagamentos'!C147</f>
        <v>25680</v>
      </c>
      <c r="I21" s="240">
        <f t="shared" si="0"/>
        <v>100</v>
      </c>
      <c r="J21" s="241" t="s">
        <v>641</v>
      </c>
      <c r="K21" s="228" t="b">
        <f>A21='[3]Quadro Geral'!A23</f>
        <v>1</v>
      </c>
      <c r="L21" s="228" t="b">
        <f>B21='[3]Quadro Geral'!B23</f>
        <v>1</v>
      </c>
      <c r="M21" s="228" t="b">
        <f>C21='[3]Quadro Geral'!E23</f>
        <v>1</v>
      </c>
      <c r="N21" s="228" t="b">
        <f>D21='[3]Quadro Geral'!G23</f>
        <v>1</v>
      </c>
      <c r="O21" s="228" t="b">
        <f>E21='[3]Quadro Geral'!I23</f>
        <v>1</v>
      </c>
      <c r="P21" s="228" t="b">
        <f>F21='[3]Quadro Geral'!M23</f>
        <v>1</v>
      </c>
      <c r="Q21" s="228" t="b">
        <f>G21='Empenhos e Pagamentos'!B147</f>
        <v>1</v>
      </c>
      <c r="R21" s="228" t="b">
        <f>H21='Empenhos e Pagamentos'!C147</f>
        <v>1</v>
      </c>
    </row>
    <row r="22" spans="1:18" s="228" customFormat="1" ht="123" customHeight="1">
      <c r="A22" s="236" t="s">
        <v>524</v>
      </c>
      <c r="B22" s="237" t="s">
        <v>237</v>
      </c>
      <c r="C22" s="247" t="s">
        <v>521</v>
      </c>
      <c r="D22" s="238" t="s">
        <v>22</v>
      </c>
      <c r="E22" s="247" t="s">
        <v>539</v>
      </c>
      <c r="F22" s="239">
        <v>47820</v>
      </c>
      <c r="G22" s="239">
        <f>'Empenhos e Pagamentos'!B157</f>
        <v>47820</v>
      </c>
      <c r="H22" s="239">
        <f>'Empenhos e Pagamentos'!C157</f>
        <v>8312</v>
      </c>
      <c r="I22" s="240">
        <f t="shared" si="0"/>
        <v>17.38184859891259</v>
      </c>
      <c r="J22" s="241" t="s">
        <v>642</v>
      </c>
      <c r="K22" s="228" t="b">
        <f>A22='[3]Quadro Geral'!A24</f>
        <v>1</v>
      </c>
      <c r="L22" s="228" t="b">
        <f>B22='[3]Quadro Geral'!B24</f>
        <v>1</v>
      </c>
      <c r="M22" s="228" t="b">
        <f>C22='[3]Quadro Geral'!E24</f>
        <v>1</v>
      </c>
      <c r="N22" s="228" t="b">
        <f>D22='[3]Quadro Geral'!G24</f>
        <v>1</v>
      </c>
      <c r="O22" s="228" t="b">
        <f>E22='[3]Quadro Geral'!I24</f>
        <v>1</v>
      </c>
      <c r="P22" s="228" t="b">
        <f>F22='[3]Quadro Geral'!M24</f>
        <v>1</v>
      </c>
      <c r="Q22" s="228" t="b">
        <f>G22='Empenhos e Pagamentos'!B157</f>
        <v>1</v>
      </c>
      <c r="R22" s="228" t="b">
        <f>H22='Empenhos e Pagamentos'!C157</f>
        <v>1</v>
      </c>
    </row>
    <row r="23" spans="1:18" s="228" customFormat="1" ht="118.8">
      <c r="A23" s="236" t="s">
        <v>524</v>
      </c>
      <c r="B23" s="237" t="s">
        <v>235</v>
      </c>
      <c r="C23" s="238" t="s">
        <v>522</v>
      </c>
      <c r="D23" s="238" t="s">
        <v>27</v>
      </c>
      <c r="E23" s="238" t="s">
        <v>540</v>
      </c>
      <c r="F23" s="239">
        <v>34400</v>
      </c>
      <c r="G23" s="239">
        <f>'Empenhos e Pagamentos'!B293</f>
        <v>34400</v>
      </c>
      <c r="H23" s="239">
        <f>'Empenhos e Pagamentos'!C293</f>
        <v>34400</v>
      </c>
      <c r="I23" s="240">
        <f t="shared" si="0"/>
        <v>100</v>
      </c>
      <c r="J23" s="241" t="s">
        <v>641</v>
      </c>
      <c r="K23" s="228" t="b">
        <f>A23='[3]Quadro Geral'!A25</f>
        <v>1</v>
      </c>
      <c r="L23" s="228" t="b">
        <f>B23='[3]Quadro Geral'!B25</f>
        <v>1</v>
      </c>
      <c r="M23" s="228" t="b">
        <f>C23='[3]Quadro Geral'!E25</f>
        <v>1</v>
      </c>
      <c r="N23" s="228" t="b">
        <f>D23='[3]Quadro Geral'!G25</f>
        <v>1</v>
      </c>
      <c r="O23" s="228" t="b">
        <f>E23='[3]Quadro Geral'!I25</f>
        <v>1</v>
      </c>
      <c r="P23" s="228" t="b">
        <f>F23='[3]Quadro Geral'!M25</f>
        <v>1</v>
      </c>
      <c r="Q23" s="228" t="b">
        <f>G23='Empenhos e Pagamentos'!B295</f>
        <v>1</v>
      </c>
      <c r="R23" s="228" t="b">
        <f>H23='Empenhos e Pagamentos'!C295</f>
        <v>1</v>
      </c>
    </row>
    <row r="24" spans="1:18" s="228" customFormat="1" ht="20.399999999999999" thickBot="1">
      <c r="A24" s="355" t="s">
        <v>3</v>
      </c>
      <c r="B24" s="356"/>
      <c r="C24" s="356"/>
      <c r="D24" s="356"/>
      <c r="E24" s="357"/>
      <c r="F24" s="248">
        <f>SUM(F7:F23)</f>
        <v>1331175.25</v>
      </c>
      <c r="G24" s="248">
        <f>SUM(G7:G23)</f>
        <v>1331175.25</v>
      </c>
      <c r="H24" s="248">
        <f>SUM(H7:H23)</f>
        <v>1165787.2</v>
      </c>
      <c r="I24" s="249">
        <f t="shared" si="0"/>
        <v>87.575786884559335</v>
      </c>
    </row>
    <row r="25" spans="1:18" s="228" customFormat="1">
      <c r="A25" s="354" t="s">
        <v>234</v>
      </c>
      <c r="B25" s="354"/>
      <c r="C25" s="354"/>
      <c r="D25" s="354"/>
      <c r="E25" s="354"/>
      <c r="F25" s="250" t="b">
        <f>F24=[4]FORM.2!$M$25</f>
        <v>1</v>
      </c>
      <c r="G25" s="250" t="b">
        <f>G24=F24</f>
        <v>1</v>
      </c>
      <c r="H25" s="250" t="b">
        <f>H24='Empenhos e Pagamentos'!C439</f>
        <v>1</v>
      </c>
      <c r="I25" s="250"/>
    </row>
    <row r="26" spans="1:18" s="228" customFormat="1">
      <c r="A26" s="350" t="s">
        <v>182</v>
      </c>
      <c r="B26" s="350"/>
      <c r="C26" s="350"/>
      <c r="D26" s="350"/>
      <c r="E26" s="350"/>
      <c r="F26" s="350"/>
      <c r="G26" s="351"/>
      <c r="H26" s="350"/>
      <c r="I26" s="350"/>
    </row>
    <row r="27" spans="1:18" s="228" customFormat="1" ht="123.75" customHeight="1">
      <c r="A27" s="348"/>
      <c r="B27" s="349"/>
      <c r="C27" s="349"/>
      <c r="D27" s="349"/>
      <c r="E27" s="349"/>
      <c r="F27" s="349"/>
      <c r="G27" s="349"/>
      <c r="H27" s="349"/>
      <c r="I27" s="349"/>
    </row>
    <row r="28" spans="1:18" s="228" customFormat="1">
      <c r="A28" s="347"/>
      <c r="B28" s="347"/>
      <c r="C28" s="347"/>
      <c r="D28" s="347"/>
      <c r="E28" s="347"/>
      <c r="F28" s="347"/>
      <c r="G28" s="347"/>
      <c r="H28" s="347"/>
      <c r="I28" s="347"/>
    </row>
  </sheetData>
  <sheetProtection formatCells="0" formatRows="0" insertRows="0" deleteRows="0"/>
  <autoFilter ref="A6:AI26" xr:uid="{00000000-0001-0000-0200-000000000000}">
    <filterColumn colId="5">
      <filters blank="1">
        <filter val="1.331.175,25"/>
        <filter val="10.199,72"/>
        <filter val="10.440,00"/>
        <filter val="11.380,00"/>
        <filter val="159.487,04"/>
        <filter val="19.250,00"/>
        <filter val="22.540,66"/>
        <filter val="25.680,00"/>
        <filter val="27.175,00"/>
        <filter val="34.400,00"/>
        <filter val="388.912,82"/>
        <filter val="396.647,19"/>
        <filter val="47.820,00"/>
        <filter val="5.000,00"/>
        <filter val="69.884,49"/>
        <filter val="7.745,33"/>
        <filter val="94.613,00"/>
        <filter val="VERDADEIRO"/>
      </filters>
    </filterColumn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</autoFilter>
  <mergeCells count="27">
    <mergeCell ref="A4:J4"/>
    <mergeCell ref="A1:J1"/>
    <mergeCell ref="A2:J2"/>
    <mergeCell ref="V6:AC8"/>
    <mergeCell ref="V10:AC10"/>
    <mergeCell ref="J5:J6"/>
    <mergeCell ref="K5:K6"/>
    <mergeCell ref="L5:L6"/>
    <mergeCell ref="R5:R6"/>
    <mergeCell ref="M5:M6"/>
    <mergeCell ref="N5:N6"/>
    <mergeCell ref="O5:O6"/>
    <mergeCell ref="P5:P6"/>
    <mergeCell ref="Q5:Q6"/>
    <mergeCell ref="A28:I28"/>
    <mergeCell ref="A27:I27"/>
    <mergeCell ref="A26:I26"/>
    <mergeCell ref="F5:F6"/>
    <mergeCell ref="H5:H6"/>
    <mergeCell ref="A25:E25"/>
    <mergeCell ref="A24:E24"/>
    <mergeCell ref="G5:G6"/>
    <mergeCell ref="E5:E6"/>
    <mergeCell ref="A5:A6"/>
    <mergeCell ref="B5:B6"/>
    <mergeCell ref="C5:C6"/>
    <mergeCell ref="D5:D6"/>
  </mergeCells>
  <phoneticPr fontId="20" type="noConversion"/>
  <conditionalFormatting sqref="F25:I25">
    <cfRule type="cellIs" dxfId="31" priority="6" operator="equal">
      <formula>TRUE</formula>
    </cfRule>
  </conditionalFormatting>
  <conditionalFormatting sqref="I7">
    <cfRule type="cellIs" dxfId="30" priority="4" operator="greaterThan">
      <formula>100.01</formula>
    </cfRule>
  </conditionalFormatting>
  <conditionalFormatting sqref="I7">
    <cfRule type="cellIs" dxfId="29" priority="3" operator="lessThan">
      <formula>100.01</formula>
    </cfRule>
  </conditionalFormatting>
  <conditionalFormatting sqref="I8:I23">
    <cfRule type="cellIs" dxfId="28" priority="2" operator="greaterThan">
      <formula>100.01</formula>
    </cfRule>
  </conditionalFormatting>
  <conditionalFormatting sqref="I8:I23">
    <cfRule type="cellIs" dxfId="27" priority="1" operator="lessThan">
      <formula>100.01</formula>
    </cfRule>
  </conditionalFormatting>
  <dataValidations count="1">
    <dataValidation type="list" allowBlank="1" showInputMessage="1" showErrorMessage="1" sqref="J7:J23" xr:uid="{00000000-0002-0000-0200-000000000000}">
      <mc:AlternateContent xmlns:x12ac="http://schemas.microsoft.com/office/spreadsheetml/2011/1/ac" xmlns:mc="http://schemas.openxmlformats.org/markup-compatibility/2006">
        <mc:Choice Requires="x12ac">
          <x12ac:list>"""Concluído""","""Parcialmente Concluído""","""Não Realizado"""</x12ac:list>
        </mc:Choice>
        <mc:Fallback>
          <formula1>"""Concluído"",""Parcialmente Concluído"",""Não Realizado"""</formula1>
        </mc:Fallback>
      </mc:AlternateContent>
    </dataValidation>
  </dataValidations>
  <pageMargins left="0.23622047244094491" right="0.23622047244094491" top="0.27" bottom="0.17" header="0.31496062992125984" footer="0.31496062992125984"/>
  <pageSetup paperSize="9" scale="41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'Validação de dados'!$D$1:$D$16</xm:f>
          </x14:formula1>
          <xm:sqref>D7:D23</xm:sqref>
        </x14:dataValidation>
        <x14:dataValidation type="list" allowBlank="1" showInputMessage="1" showErrorMessage="1" xr:uid="{00000000-0002-0000-0200-000002000000}">
          <x14:formula1>
            <xm:f>'Validação de dados'!$E$1:$E$6</xm:f>
          </x14:formula1>
          <xm:sqref>B7:B17 B19:B23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7">
    <tabColor rgb="FF00B050"/>
    <pageSetUpPr fitToPage="1"/>
  </sheetPr>
  <dimension ref="A1:R28"/>
  <sheetViews>
    <sheetView showGridLines="0" zoomScale="110" zoomScaleNormal="110" zoomScaleSheetLayoutView="80" workbookViewId="0">
      <selection activeCell="D7" sqref="D7"/>
    </sheetView>
  </sheetViews>
  <sheetFormatPr defaultColWidth="9.109375" defaultRowHeight="15.6"/>
  <cols>
    <col min="1" max="1" width="47" style="125" customWidth="1"/>
    <col min="2" max="5" width="21.44140625" style="125" customWidth="1"/>
    <col min="6" max="6" width="22.109375" style="125" customWidth="1"/>
    <col min="7" max="8" width="18.88671875" style="131" customWidth="1"/>
    <col min="9" max="23" width="9.109375" style="131" customWidth="1"/>
    <col min="24" max="16384" width="9.109375" style="131"/>
  </cols>
  <sheetData>
    <row r="1" spans="1:18">
      <c r="A1" s="391" t="str">
        <f>'Indicadores e Metas'!A1:G1</f>
        <v xml:space="preserve">CAU/UF:  </v>
      </c>
      <c r="B1" s="392"/>
      <c r="C1" s="392"/>
      <c r="D1" s="392"/>
      <c r="E1" s="392"/>
      <c r="F1" s="393"/>
    </row>
    <row r="2" spans="1:18" s="132" customFormat="1">
      <c r="A2" s="391" t="s">
        <v>358</v>
      </c>
      <c r="B2" s="392"/>
      <c r="C2" s="392"/>
      <c r="D2" s="392"/>
      <c r="E2" s="392"/>
      <c r="F2" s="393"/>
    </row>
    <row r="3" spans="1:18" s="132" customFormat="1">
      <c r="A3" s="384"/>
      <c r="B3" s="384"/>
      <c r="C3" s="384"/>
      <c r="D3" s="384"/>
      <c r="E3" s="127" t="s">
        <v>13</v>
      </c>
      <c r="F3" s="126"/>
    </row>
    <row r="4" spans="1:18">
      <c r="A4" s="394" t="s">
        <v>4</v>
      </c>
      <c r="B4" s="395"/>
      <c r="C4" s="389" t="s">
        <v>355</v>
      </c>
      <c r="D4" s="389" t="s">
        <v>360</v>
      </c>
      <c r="E4" s="181" t="s">
        <v>361</v>
      </c>
      <c r="F4" s="399" t="s">
        <v>337</v>
      </c>
    </row>
    <row r="5" spans="1:18" ht="31.8" thickBot="1">
      <c r="A5" s="396"/>
      <c r="B5" s="397"/>
      <c r="C5" s="390"/>
      <c r="D5" s="390"/>
      <c r="E5" s="11" t="s">
        <v>362</v>
      </c>
      <c r="F5" s="399"/>
    </row>
    <row r="6" spans="1:18" ht="23.4">
      <c r="A6" s="398" t="s">
        <v>338</v>
      </c>
      <c r="B6" s="398"/>
      <c r="C6" s="160"/>
      <c r="D6" s="160"/>
      <c r="E6" s="161"/>
      <c r="F6" s="161"/>
      <c r="I6" s="185" t="s">
        <v>374</v>
      </c>
      <c r="J6" s="173"/>
      <c r="K6" s="173"/>
      <c r="L6" s="173"/>
      <c r="M6" s="173"/>
      <c r="N6" s="173"/>
      <c r="O6" s="173"/>
      <c r="P6" s="173"/>
      <c r="Q6" s="173"/>
      <c r="R6" s="174"/>
    </row>
    <row r="7" spans="1:18" ht="19.5" customHeight="1">
      <c r="A7" s="388" t="s">
        <v>5</v>
      </c>
      <c r="B7" s="388"/>
      <c r="C7" s="123">
        <f>C8+C18+C19+C20</f>
        <v>1248955.25</v>
      </c>
      <c r="D7" s="123">
        <f>D8+D18+D19+D20</f>
        <v>1615571.2799999998</v>
      </c>
      <c r="E7" s="225">
        <f>IFERROR(D7/C7*100,)</f>
        <v>129.35381631967996</v>
      </c>
      <c r="F7" s="124">
        <f>IFERROR(D7/$D$24*100,0)</f>
        <v>100</v>
      </c>
      <c r="G7" s="162" t="b">
        <f>C7='[3]Anexo 1. Fontes e Aplicações'!F11</f>
        <v>1</v>
      </c>
      <c r="H7" s="162" t="b">
        <f>D7='Balanço Orçamentário'!L21</f>
        <v>1</v>
      </c>
      <c r="I7" s="400" t="s">
        <v>379</v>
      </c>
      <c r="J7" s="401"/>
      <c r="K7" s="401"/>
      <c r="L7" s="401"/>
      <c r="M7" s="401"/>
      <c r="N7" s="401"/>
      <c r="O7" s="401"/>
      <c r="P7" s="401"/>
      <c r="Q7" s="401"/>
      <c r="R7" s="402"/>
    </row>
    <row r="8" spans="1:18" ht="19.5" customHeight="1">
      <c r="A8" s="387" t="s">
        <v>54</v>
      </c>
      <c r="B8" s="387"/>
      <c r="C8" s="123">
        <f>C9+C16+C17</f>
        <v>1041819.2599999999</v>
      </c>
      <c r="D8" s="123">
        <f>D9+D16+D17</f>
        <v>1374657.4</v>
      </c>
      <c r="E8" s="225">
        <f t="shared" ref="E8:E24" si="0">IFERROR(D8/C8*100,)</f>
        <v>131.94778142227855</v>
      </c>
      <c r="F8" s="124">
        <f t="shared" ref="F8:F24" si="1">IFERROR(D8/$D$24*100,0)</f>
        <v>85.088006763774615</v>
      </c>
      <c r="G8" s="162" t="b">
        <f>C8='[3]Anexo 1. Fontes e Aplicações'!F12</f>
        <v>1</v>
      </c>
      <c r="H8" s="162"/>
      <c r="I8" s="403"/>
      <c r="J8" s="404"/>
      <c r="K8" s="404"/>
      <c r="L8" s="404"/>
      <c r="M8" s="404"/>
      <c r="N8" s="404"/>
      <c r="O8" s="404"/>
      <c r="P8" s="404"/>
      <c r="Q8" s="404"/>
      <c r="R8" s="405"/>
    </row>
    <row r="9" spans="1:18" ht="19.5" customHeight="1">
      <c r="A9" s="387" t="s">
        <v>6</v>
      </c>
      <c r="B9" s="387"/>
      <c r="C9" s="123">
        <f>C10+C13</f>
        <v>474207.76999999996</v>
      </c>
      <c r="D9" s="123">
        <f>D10+D13</f>
        <v>600687.26</v>
      </c>
      <c r="E9" s="225">
        <f t="shared" si="0"/>
        <v>126.67174559370886</v>
      </c>
      <c r="F9" s="124">
        <f t="shared" si="1"/>
        <v>37.181105373450322</v>
      </c>
      <c r="G9" s="162" t="b">
        <f>C9='[3]Anexo 1. Fontes e Aplicações'!F13</f>
        <v>1</v>
      </c>
      <c r="H9" s="162" t="b">
        <f>D9='[5]Balanço Orçamentário'!$D$5</f>
        <v>1</v>
      </c>
      <c r="I9" s="403"/>
      <c r="J9" s="404"/>
      <c r="K9" s="404"/>
      <c r="L9" s="404"/>
      <c r="M9" s="404"/>
      <c r="N9" s="404"/>
      <c r="O9" s="404"/>
      <c r="P9" s="404"/>
      <c r="Q9" s="404"/>
      <c r="R9" s="405"/>
    </row>
    <row r="10" spans="1:18" ht="19.5" customHeight="1">
      <c r="A10" s="387" t="s">
        <v>7</v>
      </c>
      <c r="B10" s="387"/>
      <c r="C10" s="122">
        <f>SUM(C11:C12)</f>
        <v>431440.57999999996</v>
      </c>
      <c r="D10" s="122">
        <f>SUM(D11:D12)</f>
        <v>560426.81000000006</v>
      </c>
      <c r="E10" s="225">
        <f t="shared" si="0"/>
        <v>129.89663837370145</v>
      </c>
      <c r="F10" s="124">
        <f t="shared" si="1"/>
        <v>34.689079766260775</v>
      </c>
      <c r="G10" s="162" t="b">
        <f>C10='[3]Anexo 1. Fontes e Aplicações'!F14</f>
        <v>1</v>
      </c>
      <c r="H10" s="162"/>
      <c r="I10" s="403"/>
      <c r="J10" s="404"/>
      <c r="K10" s="404"/>
      <c r="L10" s="404"/>
      <c r="M10" s="404"/>
      <c r="N10" s="404"/>
      <c r="O10" s="404"/>
      <c r="P10" s="404"/>
      <c r="Q10" s="404"/>
      <c r="R10" s="405"/>
    </row>
    <row r="11" spans="1:18" ht="19.5" customHeight="1">
      <c r="A11" s="386" t="s">
        <v>380</v>
      </c>
      <c r="B11" s="386"/>
      <c r="C11" s="8">
        <f>'Balanço Orçamentário'!K25</f>
        <v>340847.92</v>
      </c>
      <c r="D11" s="8">
        <f>'Balanço Orçamentário'!L25</f>
        <v>349412.09</v>
      </c>
      <c r="E11" s="225">
        <f t="shared" si="0"/>
        <v>102.51260738220142</v>
      </c>
      <c r="F11" s="124">
        <f t="shared" si="1"/>
        <v>21.62777305622814</v>
      </c>
      <c r="G11" s="162" t="b">
        <f>C11='[3]Anexo 1. Fontes e Aplicações'!F15</f>
        <v>1</v>
      </c>
      <c r="H11" s="162"/>
      <c r="I11" s="403"/>
      <c r="J11" s="404"/>
      <c r="K11" s="404"/>
      <c r="L11" s="404"/>
      <c r="M11" s="404"/>
      <c r="N11" s="404"/>
      <c r="O11" s="404"/>
      <c r="P11" s="404"/>
      <c r="Q11" s="404"/>
      <c r="R11" s="405"/>
    </row>
    <row r="12" spans="1:18" ht="19.5" customHeight="1">
      <c r="A12" s="386" t="s">
        <v>52</v>
      </c>
      <c r="B12" s="386"/>
      <c r="C12" s="8">
        <f>'Balanço Orçamentário'!K26</f>
        <v>90592.66</v>
      </c>
      <c r="D12" s="8">
        <f>'Balanço Orçamentário'!L26</f>
        <v>211014.72</v>
      </c>
      <c r="E12" s="225">
        <f t="shared" si="0"/>
        <v>232.92695015247372</v>
      </c>
      <c r="F12" s="124">
        <f t="shared" si="1"/>
        <v>13.061306710032628</v>
      </c>
      <c r="G12" s="162" t="b">
        <f>C12='[3]Anexo 1. Fontes e Aplicações'!F16</f>
        <v>1</v>
      </c>
      <c r="H12" s="162"/>
      <c r="I12" s="403"/>
      <c r="J12" s="404"/>
      <c r="K12" s="404"/>
      <c r="L12" s="404"/>
      <c r="M12" s="404"/>
      <c r="N12" s="404"/>
      <c r="O12" s="404"/>
      <c r="P12" s="404"/>
      <c r="Q12" s="404"/>
      <c r="R12" s="405"/>
    </row>
    <row r="13" spans="1:18" ht="19.5" customHeight="1">
      <c r="A13" s="387" t="s">
        <v>8</v>
      </c>
      <c r="B13" s="387"/>
      <c r="C13" s="123">
        <f>SUM(C14:C15)</f>
        <v>42767.19</v>
      </c>
      <c r="D13" s="123">
        <f>SUM(D14:D15)</f>
        <v>40260.450000000004</v>
      </c>
      <c r="E13" s="225">
        <f t="shared" si="0"/>
        <v>94.138637586430164</v>
      </c>
      <c r="F13" s="124">
        <f t="shared" si="1"/>
        <v>2.4920256071895515</v>
      </c>
      <c r="G13" s="162" t="b">
        <f>C13='[3]Anexo 1. Fontes e Aplicações'!F17</f>
        <v>1</v>
      </c>
      <c r="H13" s="162"/>
      <c r="I13" s="406"/>
      <c r="J13" s="407"/>
      <c r="K13" s="407"/>
      <c r="L13" s="407"/>
      <c r="M13" s="407"/>
      <c r="N13" s="407"/>
      <c r="O13" s="407"/>
      <c r="P13" s="407"/>
      <c r="Q13" s="407"/>
      <c r="R13" s="408"/>
    </row>
    <row r="14" spans="1:18" ht="19.5" customHeight="1">
      <c r="A14" s="386" t="s">
        <v>381</v>
      </c>
      <c r="B14" s="386"/>
      <c r="C14" s="8">
        <f>'Balanço Orçamentário'!K27</f>
        <v>30126.93</v>
      </c>
      <c r="D14" s="8">
        <f>'Balanço Orçamentário'!L27</f>
        <v>29771.58</v>
      </c>
      <c r="E14" s="225">
        <f t="shared" si="0"/>
        <v>98.820490504674723</v>
      </c>
      <c r="F14" s="124">
        <f t="shared" si="1"/>
        <v>1.8427896291892492</v>
      </c>
      <c r="G14" s="162" t="b">
        <f>C14='[3]Anexo 1. Fontes e Aplicações'!F18</f>
        <v>1</v>
      </c>
      <c r="H14" s="162"/>
    </row>
    <row r="15" spans="1:18" ht="19.5" customHeight="1">
      <c r="A15" s="386" t="s">
        <v>53</v>
      </c>
      <c r="B15" s="386"/>
      <c r="C15" s="8">
        <f>'Balanço Orçamentário'!K28</f>
        <v>12640.26</v>
      </c>
      <c r="D15" s="8">
        <f>'Balanço Orçamentário'!L28</f>
        <v>10488.87</v>
      </c>
      <c r="E15" s="225">
        <f t="shared" si="0"/>
        <v>82.979859591495753</v>
      </c>
      <c r="F15" s="124">
        <f t="shared" si="1"/>
        <v>0.64923597800030231</v>
      </c>
      <c r="G15" s="162" t="b">
        <f>C15='[3]Anexo 1. Fontes e Aplicações'!F19</f>
        <v>1</v>
      </c>
      <c r="H15" s="162"/>
    </row>
    <row r="16" spans="1:18" ht="19.5" customHeight="1">
      <c r="A16" s="385" t="s">
        <v>49</v>
      </c>
      <c r="B16" s="385"/>
      <c r="C16" s="8">
        <f>'Balanço Orçamentário'!K33</f>
        <v>523836.6</v>
      </c>
      <c r="D16" s="8">
        <f>'Balanço Orçamentário'!L32</f>
        <v>709515.51</v>
      </c>
      <c r="E16" s="225">
        <f t="shared" si="0"/>
        <v>135.44595967521172</v>
      </c>
      <c r="F16" s="124">
        <f t="shared" si="1"/>
        <v>43.917313880449775</v>
      </c>
      <c r="G16" s="162" t="b">
        <f>C16='[3]Anexo 1. Fontes e Aplicações'!F20</f>
        <v>1</v>
      </c>
      <c r="H16" s="162" t="b">
        <f>D16='[5]Balanço Orçamentário'!$D$9</f>
        <v>1</v>
      </c>
    </row>
    <row r="17" spans="1:8" ht="19.5" customHeight="1">
      <c r="A17" s="385" t="s">
        <v>123</v>
      </c>
      <c r="B17" s="385"/>
      <c r="C17" s="8">
        <f>'Balanço Orçamentário'!K38</f>
        <v>43774.89</v>
      </c>
      <c r="D17" s="8">
        <f>'Balanço Orçamentário'!L31+'Balanço Orçamentário'!L36+'Balanço Orçamentário'!L39+'Balanço Orçamentário'!L40</f>
        <v>64454.630000000005</v>
      </c>
      <c r="E17" s="225">
        <f t="shared" si="0"/>
        <v>147.24110100562217</v>
      </c>
      <c r="F17" s="124">
        <f t="shared" si="1"/>
        <v>3.9895875098745268</v>
      </c>
      <c r="G17" s="162" t="b">
        <f>C17='[3]Anexo 1. Fontes e Aplicações'!F21</f>
        <v>1</v>
      </c>
      <c r="H17" s="162"/>
    </row>
    <row r="18" spans="1:8" ht="19.5" customHeight="1">
      <c r="A18" s="385" t="s">
        <v>9</v>
      </c>
      <c r="B18" s="385"/>
      <c r="C18" s="8">
        <f>'Balanço Orçamentário'!K42</f>
        <v>6000</v>
      </c>
      <c r="D18" s="8">
        <f>'Balanço Orçamentário'!L42</f>
        <v>32772.9</v>
      </c>
      <c r="E18" s="225">
        <f t="shared" si="0"/>
        <v>546.21500000000003</v>
      </c>
      <c r="F18" s="124">
        <f t="shared" si="1"/>
        <v>2.0285641621457895</v>
      </c>
      <c r="G18" s="162" t="b">
        <f>C18='[3]Anexo 1. Fontes e Aplicações'!F22</f>
        <v>1</v>
      </c>
      <c r="H18" s="162" t="b">
        <f>D18='[5]Balanço Orçamentário'!$D$14</f>
        <v>1</v>
      </c>
    </row>
    <row r="19" spans="1:8" ht="19.5" customHeight="1">
      <c r="A19" s="385" t="s">
        <v>111</v>
      </c>
      <c r="B19" s="385"/>
      <c r="C19" s="8">
        <f>'Balanço Orçamentário'!K50</f>
        <v>4116.6400000000003</v>
      </c>
      <c r="D19" s="8">
        <f>'Balanço Orçamentário'!L45</f>
        <v>8994.76</v>
      </c>
      <c r="E19" s="225">
        <f t="shared" si="0"/>
        <v>218.49760970111544</v>
      </c>
      <c r="F19" s="124">
        <f t="shared" si="1"/>
        <v>0.55675414086341035</v>
      </c>
      <c r="G19" s="162" t="b">
        <f>C19='[3]Anexo 1. Fontes e Aplicações'!F23</f>
        <v>1</v>
      </c>
      <c r="H19" s="162" t="b">
        <f>D19='[5]Balanço Orçamentário'!$D$16</f>
        <v>1</v>
      </c>
    </row>
    <row r="20" spans="1:8" ht="19.5" customHeight="1">
      <c r="A20" s="385" t="s">
        <v>10</v>
      </c>
      <c r="B20" s="385"/>
      <c r="C20" s="224">
        <f>'Balanço Orçamentário'!K44</f>
        <v>197019.35</v>
      </c>
      <c r="D20" s="224">
        <f>'Balanço Orçamentário'!L44</f>
        <v>199146.22</v>
      </c>
      <c r="E20" s="225">
        <f t="shared" si="0"/>
        <v>101.07952340721862</v>
      </c>
      <c r="F20" s="124">
        <f t="shared" si="1"/>
        <v>12.326674933216195</v>
      </c>
      <c r="G20" s="162" t="b">
        <f>C20='[3]Anexo 1. Fontes e Aplicações'!F24</f>
        <v>1</v>
      </c>
      <c r="H20" s="162" t="b">
        <f>D20='[5]Balanço Orçamentário'!$D$15</f>
        <v>1</v>
      </c>
    </row>
    <row r="21" spans="1:8" ht="19.5" customHeight="1">
      <c r="A21" s="388" t="s">
        <v>241</v>
      </c>
      <c r="B21" s="388"/>
      <c r="C21" s="123">
        <f>SUM(C22:C23)</f>
        <v>82220</v>
      </c>
      <c r="D21" s="123">
        <f>SUM(D22:D23)</f>
        <v>0</v>
      </c>
      <c r="E21" s="225">
        <f t="shared" si="0"/>
        <v>0</v>
      </c>
      <c r="F21" s="124">
        <f t="shared" si="1"/>
        <v>0</v>
      </c>
      <c r="G21" s="162" t="b">
        <f>C21='[3]Anexo 1. Fontes e Aplicações'!F25</f>
        <v>1</v>
      </c>
      <c r="H21" s="162"/>
    </row>
    <row r="22" spans="1:8" ht="19.5" customHeight="1">
      <c r="A22" s="385" t="s">
        <v>11</v>
      </c>
      <c r="B22" s="385"/>
      <c r="C22" s="12">
        <v>82220</v>
      </c>
      <c r="D22" s="12">
        <v>0</v>
      </c>
      <c r="E22" s="225">
        <f t="shared" si="0"/>
        <v>0</v>
      </c>
      <c r="F22" s="124">
        <f t="shared" si="1"/>
        <v>0</v>
      </c>
      <c r="G22" s="162" t="b">
        <f>C22='[3]Anexo 1. Fontes e Aplicações'!F26</f>
        <v>1</v>
      </c>
      <c r="H22" s="162"/>
    </row>
    <row r="23" spans="1:8" ht="19.5" customHeight="1">
      <c r="A23" s="385" t="s">
        <v>110</v>
      </c>
      <c r="B23" s="385"/>
      <c r="C23" s="12">
        <v>0</v>
      </c>
      <c r="D23" s="12">
        <v>0</v>
      </c>
      <c r="E23" s="225">
        <f t="shared" si="0"/>
        <v>0</v>
      </c>
      <c r="F23" s="124">
        <f t="shared" si="1"/>
        <v>0</v>
      </c>
      <c r="G23" s="162" t="b">
        <f>C23='[3]Anexo 1. Fontes e Aplicações'!F27</f>
        <v>1</v>
      </c>
      <c r="H23" s="162"/>
    </row>
    <row r="24" spans="1:8" ht="19.5" customHeight="1">
      <c r="A24" s="388" t="s">
        <v>12</v>
      </c>
      <c r="B24" s="388"/>
      <c r="C24" s="123">
        <f>SUM(C7,C21)</f>
        <v>1331175.25</v>
      </c>
      <c r="D24" s="123">
        <f>SUM(D7,D21)</f>
        <v>1615571.2799999998</v>
      </c>
      <c r="E24" s="225">
        <f t="shared" si="0"/>
        <v>121.36428167515882</v>
      </c>
      <c r="F24" s="124">
        <f t="shared" si="1"/>
        <v>100</v>
      </c>
      <c r="G24" s="162" t="b">
        <f>C24='[3]Anexo 1. Fontes e Aplicações'!F28</f>
        <v>1</v>
      </c>
      <c r="H24" s="162" t="b">
        <f>D24='Balanço Orçamentário'!L58</f>
        <v>1</v>
      </c>
    </row>
    <row r="25" spans="1:8" ht="50.25" customHeight="1">
      <c r="A25" s="128"/>
      <c r="B25" s="128"/>
      <c r="C25" s="129" t="b">
        <f>C24='Balanço Orçamentário'!K58</f>
        <v>1</v>
      </c>
      <c r="D25" s="129" t="b">
        <f>D24='Balanço Orçamentário'!L58</f>
        <v>1</v>
      </c>
      <c r="E25" s="129" t="s">
        <v>664</v>
      </c>
      <c r="F25" s="130"/>
    </row>
    <row r="27" spans="1:8">
      <c r="A27" s="378" t="s">
        <v>182</v>
      </c>
      <c r="B27" s="379"/>
      <c r="C27" s="379"/>
      <c r="D27" s="379"/>
      <c r="E27" s="379"/>
      <c r="F27" s="380"/>
    </row>
    <row r="28" spans="1:8" ht="72" customHeight="1">
      <c r="A28" s="381"/>
      <c r="B28" s="382"/>
      <c r="C28" s="382"/>
      <c r="D28" s="382"/>
      <c r="E28" s="382"/>
      <c r="F28" s="383"/>
    </row>
  </sheetData>
  <protectedRanges>
    <protectedRange algorithmName="SHA-512" hashValue="oBu0U8UHWW1M9CSBiI+2smTKBuiu7zBMJPASzxaVW3/YfTocFsZXqoNbgPAUiXKweXnE/VLNBYi0YQjO9aRFIA==" saltValue="Uwn4xh4BFhDBBJp6oLNp+A==" spinCount="100000" sqref="I6:I9" name="Indicadores"/>
  </protectedRanges>
  <mergeCells count="29">
    <mergeCell ref="A17:B17"/>
    <mergeCell ref="A18:B18"/>
    <mergeCell ref="A14:B14"/>
    <mergeCell ref="A15:B15"/>
    <mergeCell ref="I7:R13"/>
    <mergeCell ref="A7:B7"/>
    <mergeCell ref="A8:B8"/>
    <mergeCell ref="A1:F1"/>
    <mergeCell ref="A2:F2"/>
    <mergeCell ref="D4:D5"/>
    <mergeCell ref="A4:B5"/>
    <mergeCell ref="A6:B6"/>
    <mergeCell ref="F4:F5"/>
    <mergeCell ref="A27:F27"/>
    <mergeCell ref="A28:F28"/>
    <mergeCell ref="A3:D3"/>
    <mergeCell ref="A22:B22"/>
    <mergeCell ref="A11:B11"/>
    <mergeCell ref="A12:B12"/>
    <mergeCell ref="A13:B13"/>
    <mergeCell ref="A23:B23"/>
    <mergeCell ref="A24:B24"/>
    <mergeCell ref="C4:C5"/>
    <mergeCell ref="A16:B16"/>
    <mergeCell ref="A9:B9"/>
    <mergeCell ref="A10:B10"/>
    <mergeCell ref="A19:B19"/>
    <mergeCell ref="A20:B20"/>
    <mergeCell ref="A21:B21"/>
  </mergeCells>
  <phoneticPr fontId="20" type="noConversion"/>
  <conditionalFormatting sqref="C25:E25">
    <cfRule type="cellIs" dxfId="26" priority="6" operator="equal">
      <formula>TRUE</formula>
    </cfRule>
  </conditionalFormatting>
  <pageMargins left="0.23622047244094491" right="0.23622047244094491" top="0.74803149606299213" bottom="0.74803149606299213" header="0.31496062992125984" footer="0.31496062992125984"/>
  <pageSetup paperSize="9" scale="81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6">
    <tabColor rgb="FF00B050"/>
  </sheetPr>
  <dimension ref="A1:AD28"/>
  <sheetViews>
    <sheetView topLeftCell="C19" zoomScale="90" zoomScaleNormal="90" workbookViewId="0">
      <selection activeCell="E15" sqref="E15"/>
    </sheetView>
  </sheetViews>
  <sheetFormatPr defaultColWidth="9.109375" defaultRowHeight="25.8" zeroHeight="1"/>
  <cols>
    <col min="1" max="1" width="7.88671875" style="88" bestFit="1" customWidth="1"/>
    <col min="2" max="2" width="47.44140625" style="88" bestFit="1" customWidth="1"/>
    <col min="3" max="3" width="10.44140625" style="88" bestFit="1" customWidth="1"/>
    <col min="4" max="4" width="23.88671875" style="88" bestFit="1" customWidth="1"/>
    <col min="5" max="5" width="20.109375" style="88" bestFit="1" customWidth="1"/>
    <col min="6" max="6" width="17.33203125" style="88" customWidth="1"/>
    <col min="7" max="9" width="14" style="88" customWidth="1"/>
    <col min="10" max="10" width="11.6640625" style="88" customWidth="1"/>
    <col min="11" max="11" width="53" style="88" customWidth="1"/>
    <col min="12" max="12" width="10.44140625" style="88" bestFit="1" customWidth="1"/>
    <col min="13" max="13" width="23.88671875" style="88" bestFit="1" customWidth="1"/>
    <col min="14" max="14" width="20.109375" style="88" bestFit="1" customWidth="1"/>
    <col min="15" max="15" width="14.44140625" style="88" bestFit="1" customWidth="1"/>
    <col min="16" max="18" width="17.33203125" style="88" customWidth="1"/>
    <col min="19" max="16384" width="9.109375" style="134"/>
  </cols>
  <sheetData>
    <row r="1" spans="1:30">
      <c r="A1" s="334" t="s">
        <v>359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</row>
    <row r="2" spans="1:30" ht="26.4" thickBot="1"/>
    <row r="3" spans="1:30" ht="45" customHeight="1">
      <c r="A3" s="411" t="s">
        <v>32</v>
      </c>
      <c r="B3" s="415" t="s">
        <v>33</v>
      </c>
      <c r="C3" s="415"/>
      <c r="D3" s="182" t="s">
        <v>185</v>
      </c>
      <c r="E3" s="182" t="s">
        <v>364</v>
      </c>
      <c r="F3" s="182" t="s">
        <v>363</v>
      </c>
      <c r="G3" s="148"/>
      <c r="H3" s="148"/>
      <c r="I3" s="148"/>
      <c r="J3" s="411" t="s">
        <v>32</v>
      </c>
      <c r="K3" s="415" t="s">
        <v>34</v>
      </c>
      <c r="L3" s="415"/>
      <c r="M3" s="182" t="s">
        <v>185</v>
      </c>
      <c r="N3" s="182" t="s">
        <v>364</v>
      </c>
      <c r="O3" s="10" t="s">
        <v>361</v>
      </c>
      <c r="R3" s="185" t="s">
        <v>374</v>
      </c>
      <c r="S3" s="173"/>
      <c r="T3" s="173"/>
      <c r="U3" s="173"/>
      <c r="V3" s="173"/>
      <c r="W3" s="173"/>
      <c r="X3" s="173"/>
      <c r="Y3" s="173"/>
      <c r="Z3" s="173"/>
      <c r="AA3" s="174"/>
    </row>
    <row r="4" spans="1:30" ht="36" customHeight="1">
      <c r="A4" s="411"/>
      <c r="B4" s="433" t="s">
        <v>124</v>
      </c>
      <c r="C4" s="433"/>
      <c r="D4" s="13">
        <f>'Fontes '!C8</f>
        <v>1041819.2599999999</v>
      </c>
      <c r="E4" s="13">
        <f>'Fontes '!D8</f>
        <v>1374657.4</v>
      </c>
      <c r="F4" s="14">
        <f>IFERROR(E4/D4*100,0)</f>
        <v>131.94778142227855</v>
      </c>
      <c r="G4" s="163" t="b">
        <f>D4='[3]Anexo 2. Limites Estratégicos'!E5</f>
        <v>1</v>
      </c>
      <c r="H4" s="163" t="b">
        <f>E4='Fontes '!D8</f>
        <v>1</v>
      </c>
      <c r="I4" s="133"/>
      <c r="J4" s="432"/>
      <c r="K4" s="434" t="s">
        <v>47</v>
      </c>
      <c r="L4" s="434"/>
      <c r="M4" s="136">
        <v>640557</v>
      </c>
      <c r="N4" s="183">
        <f>'Balanço Orçamentário'!H62</f>
        <v>667960.66</v>
      </c>
      <c r="O4" s="14">
        <f>IFERROR(N4/M4*100,0)</f>
        <v>104.27809859231887</v>
      </c>
      <c r="P4" s="155" t="b">
        <f>M4='[3]Anexo 2. Limites Estratégicos'!N5</f>
        <v>1</v>
      </c>
      <c r="Q4" s="163" t="b">
        <f>N4='Balanço Orçamentário'!H62</f>
        <v>1</v>
      </c>
      <c r="R4" s="426" t="s">
        <v>375</v>
      </c>
      <c r="S4" s="427"/>
      <c r="T4" s="427"/>
      <c r="U4" s="427"/>
      <c r="V4" s="427"/>
      <c r="W4" s="427"/>
      <c r="X4" s="427"/>
      <c r="Y4" s="427"/>
      <c r="Z4" s="427"/>
      <c r="AA4" s="428"/>
    </row>
    <row r="5" spans="1:30" ht="36" customHeight="1">
      <c r="A5" s="411"/>
      <c r="B5" s="433" t="s">
        <v>35</v>
      </c>
      <c r="C5" s="433"/>
      <c r="D5" s="13">
        <f>'Fontes '!C20</f>
        <v>197019.35</v>
      </c>
      <c r="E5" s="13">
        <f>'Fontes '!D20</f>
        <v>199146.22</v>
      </c>
      <c r="F5" s="14">
        <f t="shared" ref="F5:F8" si="0">IFERROR(E5/D5*100,0)</f>
        <v>101.07952340721862</v>
      </c>
      <c r="G5" s="163" t="b">
        <f>D5='[3]Anexo 2. Limites Estratégicos'!E6</f>
        <v>1</v>
      </c>
      <c r="H5" s="163" t="b">
        <f>E5='Fontes '!D20</f>
        <v>1</v>
      </c>
      <c r="I5" s="133"/>
      <c r="J5" s="432"/>
      <c r="K5" s="434" t="s">
        <v>42</v>
      </c>
      <c r="L5" s="434"/>
      <c r="M5" s="136">
        <v>38640</v>
      </c>
      <c r="N5" s="136">
        <f>'Balanço Orçamentário'!H74</f>
        <v>31458.400000000001</v>
      </c>
      <c r="O5" s="14">
        <f>IFERROR(N5/M5*100,0)</f>
        <v>81.414078674948243</v>
      </c>
      <c r="P5" s="155" t="b">
        <f>M5='[3]Anexo 2. Limites Estratégicos'!N6</f>
        <v>1</v>
      </c>
      <c r="Q5" s="155"/>
      <c r="R5" s="429"/>
      <c r="S5" s="430"/>
      <c r="T5" s="430"/>
      <c r="U5" s="430"/>
      <c r="V5" s="430"/>
      <c r="W5" s="430"/>
      <c r="X5" s="430"/>
      <c r="Y5" s="430"/>
      <c r="Z5" s="430"/>
      <c r="AA5" s="431"/>
    </row>
    <row r="6" spans="1:30" ht="36" customHeight="1">
      <c r="A6" s="411"/>
      <c r="B6" s="435" t="s">
        <v>43</v>
      </c>
      <c r="C6" s="435"/>
      <c r="D6" s="149">
        <f>SUM(D4:D5)</f>
        <v>1238838.6099999999</v>
      </c>
      <c r="E6" s="149">
        <f>SUM(E4:E5)</f>
        <v>1573803.6199999999</v>
      </c>
      <c r="F6" s="150">
        <f t="shared" si="0"/>
        <v>127.03863177141372</v>
      </c>
      <c r="G6" s="163" t="b">
        <f>D6='[3]Anexo 2. Limites Estratégicos'!E7</f>
        <v>1</v>
      </c>
      <c r="I6" s="133"/>
      <c r="J6" s="432"/>
      <c r="K6" s="434" t="s">
        <v>44</v>
      </c>
      <c r="L6" s="434"/>
      <c r="M6" s="157">
        <f>'Fontes '!C7</f>
        <v>1248955.25</v>
      </c>
      <c r="N6" s="158">
        <f>'Fontes '!D7</f>
        <v>1615571.2799999998</v>
      </c>
      <c r="O6" s="14">
        <f>IFERROR(N6/M6*100,0)</f>
        <v>129.35381631967996</v>
      </c>
      <c r="P6" s="155" t="b">
        <f>M6='[3]Anexo 2. Limites Estratégicos'!N7</f>
        <v>1</v>
      </c>
      <c r="Q6" s="155"/>
      <c r="R6" s="426" t="s">
        <v>376</v>
      </c>
      <c r="S6" s="427"/>
      <c r="T6" s="427"/>
      <c r="U6" s="427"/>
      <c r="V6" s="427"/>
      <c r="W6" s="427"/>
      <c r="X6" s="427"/>
      <c r="Y6" s="427"/>
      <c r="Z6" s="427"/>
      <c r="AA6" s="428"/>
    </row>
    <row r="7" spans="1:30" ht="36" customHeight="1">
      <c r="A7" s="411"/>
      <c r="B7" s="433" t="s">
        <v>45</v>
      </c>
      <c r="C7" s="433"/>
      <c r="D7" s="187">
        <f>'Quadro Geral'!F15</f>
        <v>22540.66</v>
      </c>
      <c r="E7" s="187">
        <f>'Quadro Geral'!H15</f>
        <v>22540.66</v>
      </c>
      <c r="F7" s="14">
        <f t="shared" si="0"/>
        <v>100</v>
      </c>
      <c r="G7" s="163" t="b">
        <f>D7='[3]Anexo 2. Limites Estratégicos'!E8</f>
        <v>1</v>
      </c>
      <c r="H7" s="163" t="b">
        <f>E7='Quadro Geral'!H15</f>
        <v>1</v>
      </c>
      <c r="I7" s="133"/>
      <c r="J7" s="436"/>
      <c r="K7" s="436"/>
      <c r="L7" s="135"/>
      <c r="M7" s="163" t="b">
        <f>M6='Fontes '!C7</f>
        <v>1</v>
      </c>
      <c r="N7" s="163" t="b">
        <f>N6='Fontes '!D7</f>
        <v>1</v>
      </c>
      <c r="O7" s="138"/>
      <c r="P7" s="138"/>
      <c r="Q7" s="138"/>
      <c r="R7" s="429"/>
      <c r="S7" s="430"/>
      <c r="T7" s="430"/>
      <c r="U7" s="430"/>
      <c r="V7" s="430"/>
      <c r="W7" s="430"/>
      <c r="X7" s="430"/>
      <c r="Y7" s="430"/>
      <c r="Z7" s="430"/>
      <c r="AA7" s="431"/>
    </row>
    <row r="8" spans="1:30" ht="36" customHeight="1">
      <c r="A8" s="411"/>
      <c r="B8" s="398" t="s">
        <v>51</v>
      </c>
      <c r="C8" s="398"/>
      <c r="D8" s="149">
        <f>D6-D7</f>
        <v>1216297.95</v>
      </c>
      <c r="E8" s="149">
        <f>E6-E7</f>
        <v>1551262.96</v>
      </c>
      <c r="F8" s="150">
        <f t="shared" si="0"/>
        <v>127.5397167281257</v>
      </c>
      <c r="G8" s="163" t="b">
        <f>D8='[3]Anexo 2. Limites Estratégicos'!E9</f>
        <v>1</v>
      </c>
      <c r="H8" s="133"/>
      <c r="I8" s="133"/>
      <c r="J8" s="126"/>
      <c r="K8" s="126"/>
      <c r="L8" s="135"/>
      <c r="M8" s="139"/>
      <c r="N8" s="140"/>
      <c r="O8" s="139"/>
      <c r="P8" s="141"/>
      <c r="Q8" s="141"/>
      <c r="R8" s="426" t="s">
        <v>377</v>
      </c>
      <c r="S8" s="427"/>
      <c r="T8" s="427"/>
      <c r="U8" s="427"/>
      <c r="V8" s="427"/>
      <c r="W8" s="427"/>
      <c r="X8" s="427"/>
      <c r="Y8" s="427"/>
      <c r="Z8" s="427"/>
      <c r="AA8" s="428"/>
      <c r="AB8" s="141"/>
      <c r="AC8" s="141"/>
      <c r="AD8" s="141"/>
    </row>
    <row r="9" spans="1:30" s="146" customFormat="1" ht="36" customHeight="1">
      <c r="A9" s="142"/>
      <c r="B9" s="143"/>
      <c r="C9" s="143"/>
      <c r="D9" s="144"/>
      <c r="E9" s="144"/>
      <c r="F9" s="139"/>
      <c r="G9" s="144"/>
      <c r="H9" s="144"/>
      <c r="I9" s="144"/>
      <c r="J9" s="126"/>
      <c r="K9" s="126"/>
      <c r="L9" s="135"/>
      <c r="M9" s="139"/>
      <c r="N9" s="140"/>
      <c r="O9" s="139"/>
      <c r="P9" s="145"/>
      <c r="Q9" s="145"/>
      <c r="R9" s="429"/>
      <c r="S9" s="430"/>
      <c r="T9" s="430"/>
      <c r="U9" s="430"/>
      <c r="V9" s="430"/>
      <c r="W9" s="430"/>
      <c r="X9" s="430"/>
      <c r="Y9" s="430"/>
      <c r="Z9" s="430"/>
      <c r="AA9" s="431"/>
      <c r="AB9" s="145"/>
      <c r="AC9" s="145"/>
    </row>
    <row r="10" spans="1:30" ht="58.5" customHeight="1">
      <c r="A10" s="411" t="s">
        <v>50</v>
      </c>
      <c r="B10" s="415" t="s">
        <v>38</v>
      </c>
      <c r="C10" s="415"/>
      <c r="D10" s="182" t="s">
        <v>365</v>
      </c>
      <c r="E10" s="182" t="s">
        <v>364</v>
      </c>
      <c r="F10" s="186" t="s">
        <v>361</v>
      </c>
      <c r="G10" s="144"/>
      <c r="H10" s="144"/>
      <c r="I10" s="144"/>
      <c r="J10" s="415" t="s">
        <v>38</v>
      </c>
      <c r="K10" s="415"/>
      <c r="L10" s="415"/>
      <c r="M10" s="182" t="s">
        <v>185</v>
      </c>
      <c r="N10" s="182" t="s">
        <v>364</v>
      </c>
      <c r="O10" s="167" t="s">
        <v>361</v>
      </c>
      <c r="P10" s="141"/>
      <c r="Q10" s="141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</row>
    <row r="11" spans="1:30" ht="36" customHeight="1">
      <c r="A11" s="411"/>
      <c r="B11" s="413" t="s">
        <v>242</v>
      </c>
      <c r="C11" s="151" t="s">
        <v>36</v>
      </c>
      <c r="D11" s="136">
        <f>'Quadro Geral'!G12+'Quadro Geral'!G7</f>
        <v>466531.68</v>
      </c>
      <c r="E11" s="137">
        <f>'Quadro Geral'!H7+'Quadro Geral'!H12</f>
        <v>460826.26999999996</v>
      </c>
      <c r="F11" s="14">
        <f>IFERROR(E11/D11*100,)</f>
        <v>98.777058398263534</v>
      </c>
      <c r="G11" s="163" t="b">
        <f>D11='[3]Anexo 2. Limites Estratégicos'!E12</f>
        <v>1</v>
      </c>
      <c r="H11" s="163" t="b">
        <f>E11='Matriz de Obj. Estrat.'!J5</f>
        <v>1</v>
      </c>
      <c r="I11" s="156"/>
      <c r="J11" s="416" t="s">
        <v>243</v>
      </c>
      <c r="K11" s="416"/>
      <c r="L11" s="151" t="s">
        <v>36</v>
      </c>
      <c r="M11" s="157">
        <f>(M4-M5)</f>
        <v>601917</v>
      </c>
      <c r="N11" s="158">
        <f>(N4-N5)</f>
        <v>636502.26</v>
      </c>
      <c r="O11" s="14">
        <f>IFERROR(N11/M11*100,0)</f>
        <v>105.7458520028509</v>
      </c>
      <c r="P11" s="155" t="b">
        <f>M11='[3]Anexo 2. Limites Estratégicos'!N12</f>
        <v>1</v>
      </c>
      <c r="Q11" s="15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</row>
    <row r="12" spans="1:30" ht="36" customHeight="1">
      <c r="A12" s="411"/>
      <c r="B12" s="414"/>
      <c r="C12" s="152" t="s">
        <v>37</v>
      </c>
      <c r="D12" s="154">
        <f>IFERROR(D11/$D$8,0)</f>
        <v>0.38356693768989747</v>
      </c>
      <c r="E12" s="154">
        <f>IFERROR(E11/$E$8,0)</f>
        <v>0.29706521839469435</v>
      </c>
      <c r="F12" s="153">
        <f>(E12-D12)*100</f>
        <v>-8.6501719295203117</v>
      </c>
      <c r="G12" s="163" t="b">
        <f>D12='[3]Anexo 2. Limites Estratégicos'!E13</f>
        <v>1</v>
      </c>
      <c r="H12" s="156"/>
      <c r="I12" s="156"/>
      <c r="J12" s="416"/>
      <c r="K12" s="416"/>
      <c r="L12" s="152" t="s">
        <v>37</v>
      </c>
      <c r="M12" s="159">
        <f>IFERROR(M11/M6,)</f>
        <v>0.48193640244516367</v>
      </c>
      <c r="N12" s="159">
        <f>IFERROR(N11/N6,)</f>
        <v>0.39397968253062787</v>
      </c>
      <c r="O12" s="153">
        <f>(N12-M12)*100</f>
        <v>-8.7956719914535793</v>
      </c>
      <c r="P12" s="155" t="b">
        <f>M12='[3]Anexo 2. Limites Estratégicos'!N13</f>
        <v>1</v>
      </c>
      <c r="Q12" s="15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</row>
    <row r="13" spans="1:30" ht="36" customHeight="1">
      <c r="A13" s="411"/>
      <c r="B13" s="413" t="s">
        <v>244</v>
      </c>
      <c r="C13" s="151" t="s">
        <v>36</v>
      </c>
      <c r="D13" s="136">
        <f>'Quadro Geral'!G10+'Quadro Geral'!G13</f>
        <v>169686.76</v>
      </c>
      <c r="E13" s="137">
        <f>'Quadro Geral'!H10+'Quadro Geral'!H13</f>
        <v>146559.67999999999</v>
      </c>
      <c r="F13" s="14">
        <f>IFERROR(E13/D13*100,)</f>
        <v>86.370722147090319</v>
      </c>
      <c r="G13" s="163" t="b">
        <f>D13='[3]Anexo 2. Limites Estratégicos'!E14</f>
        <v>1</v>
      </c>
      <c r="H13" s="163" t="b">
        <f>E13='Matriz de Obj. Estrat.'!J6</f>
        <v>1</v>
      </c>
      <c r="I13" s="156"/>
      <c r="J13" s="412" t="s">
        <v>245</v>
      </c>
      <c r="K13" s="412"/>
      <c r="L13" s="151" t="s">
        <v>36</v>
      </c>
      <c r="M13" s="136">
        <f>'Quadro Geral'!G20</f>
        <v>19250</v>
      </c>
      <c r="N13" s="137">
        <f>'Quadro Geral'!H20</f>
        <v>19250</v>
      </c>
      <c r="O13" s="14">
        <f>IFERROR(N13/M13*100,0)</f>
        <v>100</v>
      </c>
      <c r="P13" s="155" t="b">
        <f>M13='[3]Anexo 2. Limites Estratégicos'!N14</f>
        <v>1</v>
      </c>
      <c r="Q13" s="163" t="b">
        <f>N13='Matriz de Obj. Estrat.'!J16</f>
        <v>1</v>
      </c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</row>
    <row r="14" spans="1:30" ht="36" customHeight="1">
      <c r="A14" s="411"/>
      <c r="B14" s="414"/>
      <c r="C14" s="152" t="s">
        <v>37</v>
      </c>
      <c r="D14" s="154">
        <f>IFERROR(D13/$D$8,0)</f>
        <v>0.13951084929478014</v>
      </c>
      <c r="E14" s="226">
        <f>IFERROR(E13/$E$8,0)</f>
        <v>9.447765064924904E-2</v>
      </c>
      <c r="F14" s="153">
        <f>9.4-14</f>
        <v>-4.5999999999999996</v>
      </c>
      <c r="G14" s="163" t="b">
        <f>D14='[3]Anexo 2. Limites Estratégicos'!E15</f>
        <v>1</v>
      </c>
      <c r="H14" s="156"/>
      <c r="I14" s="156"/>
      <c r="J14" s="412"/>
      <c r="K14" s="412"/>
      <c r="L14" s="152" t="s">
        <v>37</v>
      </c>
      <c r="M14" s="159">
        <f>IFERROR(M13/M4,)</f>
        <v>3.0051970394516021E-2</v>
      </c>
      <c r="N14" s="159">
        <f>IFERROR(N13/N4,)</f>
        <v>2.8819062487901607E-2</v>
      </c>
      <c r="O14" s="153">
        <f>(N14-M14)*100</f>
        <v>-0.12329079066144139</v>
      </c>
      <c r="P14" s="155" t="b">
        <f>M14='[3]Anexo 2. Limites Estratégicos'!N15</f>
        <v>1</v>
      </c>
      <c r="Q14" s="15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</row>
    <row r="15" spans="1:30" ht="36" customHeight="1" thickBot="1">
      <c r="A15" s="411"/>
      <c r="B15" s="413" t="s">
        <v>246</v>
      </c>
      <c r="C15" s="151" t="s">
        <v>36</v>
      </c>
      <c r="D15" s="136">
        <f>'Quadro Geral'!G9</f>
        <v>94613</v>
      </c>
      <c r="E15" s="137">
        <f>'Quadro Geral'!H9</f>
        <v>79762.77</v>
      </c>
      <c r="F15" s="14">
        <f>IFERROR(E15/D15*100,)</f>
        <v>84.304239375138721</v>
      </c>
      <c r="G15" s="163" t="b">
        <f>D15='[3]Anexo 2. Limites Estratégicos'!E16</f>
        <v>1</v>
      </c>
      <c r="H15" s="163" t="b">
        <f>E15='Matriz de Obj. Estrat.'!J11</f>
        <v>1</v>
      </c>
      <c r="I15" s="156"/>
      <c r="P15" s="142"/>
      <c r="Q15" s="142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</row>
    <row r="16" spans="1:30" ht="36" customHeight="1">
      <c r="A16" s="411"/>
      <c r="B16" s="414"/>
      <c r="C16" s="152" t="s">
        <v>37</v>
      </c>
      <c r="D16" s="154">
        <f>IFERROR(D15/$D$8,0)</f>
        <v>7.7787683519486325E-2</v>
      </c>
      <c r="E16" s="154">
        <f>IFERROR(E15/$E$8,0)</f>
        <v>5.1417955599223492E-2</v>
      </c>
      <c r="F16" s="153">
        <f>5.1-7.8</f>
        <v>-2.7</v>
      </c>
      <c r="G16" s="163" t="b">
        <f>D16='[3]Anexo 2. Limites Estratégicos'!E17</f>
        <v>1</v>
      </c>
      <c r="H16" s="156"/>
      <c r="I16" s="156"/>
      <c r="J16" s="417" t="s">
        <v>366</v>
      </c>
      <c r="K16" s="418"/>
      <c r="L16" s="418"/>
      <c r="M16" s="418"/>
      <c r="N16" s="418"/>
      <c r="O16" s="419"/>
    </row>
    <row r="17" spans="1:17" ht="36" customHeight="1">
      <c r="A17" s="411"/>
      <c r="B17" s="413" t="s">
        <v>247</v>
      </c>
      <c r="C17" s="151" t="s">
        <v>36</v>
      </c>
      <c r="D17" s="136">
        <f>'Quadro Geral'!G18</f>
        <v>0</v>
      </c>
      <c r="E17" s="137">
        <v>0</v>
      </c>
      <c r="F17" s="14">
        <f>IFERROR(E17/D17*100,)</f>
        <v>0</v>
      </c>
      <c r="G17" s="163" t="b">
        <f>D17='[3]Anexo 2. Limites Estratégicos'!E18</f>
        <v>1</v>
      </c>
      <c r="H17" s="156"/>
      <c r="I17" s="156"/>
      <c r="J17" s="420"/>
      <c r="K17" s="421"/>
      <c r="L17" s="421"/>
      <c r="M17" s="421"/>
      <c r="N17" s="421"/>
      <c r="O17" s="422"/>
    </row>
    <row r="18" spans="1:17" ht="36" customHeight="1">
      <c r="A18" s="411"/>
      <c r="B18" s="414"/>
      <c r="C18" s="152" t="s">
        <v>37</v>
      </c>
      <c r="D18" s="154">
        <f>IFERROR(D17/$D$8,0)</f>
        <v>0</v>
      </c>
      <c r="E18" s="154">
        <f>IFERROR(E17/$E$8,0)</f>
        <v>0</v>
      </c>
      <c r="F18" s="153">
        <f>(E18-D18)*100</f>
        <v>0</v>
      </c>
      <c r="G18" s="163" t="b">
        <f>D18='[3]Anexo 2. Limites Estratégicos'!E19</f>
        <v>1</v>
      </c>
      <c r="H18" s="156"/>
      <c r="I18" s="156"/>
      <c r="J18" s="420"/>
      <c r="K18" s="421"/>
      <c r="L18" s="421"/>
      <c r="M18" s="421"/>
      <c r="N18" s="421"/>
      <c r="O18" s="422"/>
    </row>
    <row r="19" spans="1:17" ht="36" customHeight="1">
      <c r="A19" s="411"/>
      <c r="B19" s="413" t="s">
        <v>248</v>
      </c>
      <c r="C19" s="151" t="s">
        <v>36</v>
      </c>
      <c r="D19" s="136">
        <f>'Quadro Geral'!F17+'Quadro Geral'!F13+'Quadro Geral'!F10+'Quadro Geral'!F9</f>
        <v>291474.76</v>
      </c>
      <c r="E19" s="137">
        <f>'Quadro Geral'!H9+'Quadro Geral'!H10+'Quadro Geral'!H13+'Quadro Geral'!H17</f>
        <v>226322.44999999998</v>
      </c>
      <c r="F19" s="14">
        <f>IFERROR(E19/D19*100,)</f>
        <v>77.647357870712369</v>
      </c>
      <c r="G19" s="163" t="b">
        <f>D19='[3]Anexo 2. Limites Estratégicos'!E20</f>
        <v>1</v>
      </c>
      <c r="H19" s="163" t="b">
        <f>'Matriz de Obj. Estrat.'!J11+'Matriz de Obj. Estrat.'!J12+'Matriz de Obj. Estrat.'!J6=E19</f>
        <v>1</v>
      </c>
      <c r="I19" s="156"/>
      <c r="J19" s="420"/>
      <c r="K19" s="421"/>
      <c r="L19" s="421"/>
      <c r="M19" s="421"/>
      <c r="N19" s="421"/>
      <c r="O19" s="422"/>
    </row>
    <row r="20" spans="1:17" ht="36" customHeight="1">
      <c r="A20" s="411"/>
      <c r="B20" s="414"/>
      <c r="C20" s="152" t="s">
        <v>37</v>
      </c>
      <c r="D20" s="154">
        <f>IFERROR(D19/$D$8,0)</f>
        <v>0.23964092022024705</v>
      </c>
      <c r="E20" s="154">
        <f>IFERROR(E19/$E$8,0)</f>
        <v>0.14589560624847253</v>
      </c>
      <c r="F20" s="153">
        <f>(E20-D20)*100</f>
        <v>-9.3745313971774511</v>
      </c>
      <c r="G20" s="163" t="b">
        <f>D20='[3]Anexo 2. Limites Estratégicos'!E21</f>
        <v>1</v>
      </c>
      <c r="H20" s="156"/>
      <c r="I20" s="156"/>
      <c r="J20" s="420"/>
      <c r="K20" s="421"/>
      <c r="L20" s="421"/>
      <c r="M20" s="421"/>
      <c r="N20" s="421"/>
      <c r="O20" s="422"/>
    </row>
    <row r="21" spans="1:17" ht="36" customHeight="1" thickBot="1">
      <c r="A21" s="411"/>
      <c r="B21" s="413" t="s">
        <v>249</v>
      </c>
      <c r="C21" s="151" t="s">
        <v>36</v>
      </c>
      <c r="D21" s="136">
        <f>'Quadro Geral'!G21+'Quadro Geral'!G22</f>
        <v>73500</v>
      </c>
      <c r="E21" s="137">
        <f>'Quadro Geral'!H21+'Quadro Geral'!H22</f>
        <v>33992</v>
      </c>
      <c r="F21" s="14">
        <f>IFERROR(E21/D21*100,)</f>
        <v>46.247619047619047</v>
      </c>
      <c r="G21" s="163" t="b">
        <f>D21='[3]Anexo 2. Limites Estratégicos'!E22</f>
        <v>1</v>
      </c>
      <c r="H21" s="163" t="b">
        <f>'Quadro Geral'!H21+'Quadro Geral'!H22=E21</f>
        <v>1</v>
      </c>
      <c r="I21" s="156"/>
      <c r="J21" s="423"/>
      <c r="K21" s="424"/>
      <c r="L21" s="424"/>
      <c r="M21" s="424"/>
      <c r="N21" s="424"/>
      <c r="O21" s="425"/>
    </row>
    <row r="22" spans="1:17" ht="36" customHeight="1">
      <c r="A22" s="411"/>
      <c r="B22" s="414"/>
      <c r="C22" s="152" t="s">
        <v>37</v>
      </c>
      <c r="D22" s="154">
        <f>IFERROR(D21/$D$8,0)</f>
        <v>6.0429272284804887E-2</v>
      </c>
      <c r="E22" s="154">
        <f>IFERROR(E21/$E$8,0)</f>
        <v>2.1912468018961788E-2</v>
      </c>
      <c r="F22" s="153">
        <f>2.2-6</f>
        <v>-3.8</v>
      </c>
      <c r="G22" s="163" t="b">
        <f>D22='[3]Anexo 2. Limites Estratégicos'!E23</f>
        <v>1</v>
      </c>
      <c r="H22" s="156"/>
      <c r="I22" s="156"/>
      <c r="J22" s="147"/>
      <c r="K22" s="147"/>
      <c r="L22" s="147"/>
      <c r="M22" s="147"/>
      <c r="N22" s="147"/>
      <c r="O22" s="147"/>
      <c r="P22" s="147"/>
      <c r="Q22" s="147"/>
    </row>
    <row r="23" spans="1:17" ht="36" customHeight="1">
      <c r="A23" s="411"/>
      <c r="B23" s="413" t="s">
        <v>250</v>
      </c>
      <c r="C23" s="151" t="s">
        <v>36</v>
      </c>
      <c r="D23" s="136">
        <f>'Quadro Geral'!G19</f>
        <v>5000</v>
      </c>
      <c r="E23" s="136">
        <f>'Quadro Geral'!H19</f>
        <v>0</v>
      </c>
      <c r="F23" s="14">
        <f>IFERROR(E23/D23*100,)</f>
        <v>0</v>
      </c>
      <c r="G23" s="163" t="b">
        <f>D23='[3]Anexo 2. Limites Estratégicos'!E24</f>
        <v>1</v>
      </c>
      <c r="H23" s="156"/>
      <c r="I23" s="156"/>
      <c r="J23" s="147"/>
      <c r="K23" s="147"/>
      <c r="L23" s="147"/>
      <c r="M23" s="147"/>
      <c r="N23" s="147"/>
      <c r="O23" s="147"/>
      <c r="P23" s="147"/>
      <c r="Q23" s="147"/>
    </row>
    <row r="24" spans="1:17" ht="36" customHeight="1">
      <c r="A24" s="411"/>
      <c r="B24" s="414"/>
      <c r="C24" s="152" t="s">
        <v>37</v>
      </c>
      <c r="D24" s="154">
        <f>IFERROR(D23/$D$8,0)</f>
        <v>4.1108348493064549E-3</v>
      </c>
      <c r="E24" s="154">
        <f>IFERROR(E23/$E$8,0)</f>
        <v>0</v>
      </c>
      <c r="F24" s="153">
        <f>(E24-D24)*100</f>
        <v>-0.4110834849306455</v>
      </c>
      <c r="G24" s="163" t="b">
        <f>D24='[3]Anexo 2. Limites Estratégicos'!E25</f>
        <v>1</v>
      </c>
      <c r="H24" s="156"/>
      <c r="I24" s="156"/>
      <c r="J24" s="147"/>
      <c r="K24" s="147"/>
      <c r="L24" s="147"/>
      <c r="M24" s="147"/>
      <c r="N24" s="147"/>
      <c r="O24" s="147"/>
      <c r="P24" s="147"/>
      <c r="Q24" s="147"/>
    </row>
    <row r="25" spans="1:17">
      <c r="B25" s="121"/>
      <c r="J25" s="147"/>
      <c r="K25" s="147"/>
      <c r="L25" s="147"/>
      <c r="M25" s="147"/>
      <c r="N25" s="147"/>
      <c r="O25" s="147"/>
      <c r="P25" s="147"/>
      <c r="Q25" s="147"/>
    </row>
    <row r="26" spans="1:17">
      <c r="A26" s="334" t="s">
        <v>367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</row>
    <row r="27" spans="1:17" ht="101.25" customHeight="1">
      <c r="A27" s="409" t="s">
        <v>679</v>
      </c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</row>
    <row r="28" spans="1:17"/>
  </sheetData>
  <sheetProtection selectLockedCells="1"/>
  <protectedRanges>
    <protectedRange algorithmName="SHA-512" hashValue="oBu0U8UHWW1M9CSBiI+2smTKBuiu7zBMJPASzxaVW3/YfTocFsZXqoNbgPAUiXKweXnE/VLNBYi0YQjO9aRFIA==" saltValue="Uwn4xh4BFhDBBJp6oLNp+A==" spinCount="100000" sqref="R3:R6 R8" name="Indicadores"/>
  </protectedRanges>
  <mergeCells count="32">
    <mergeCell ref="J16:O21"/>
    <mergeCell ref="R4:AA5"/>
    <mergeCell ref="R6:AA7"/>
    <mergeCell ref="R8:AA9"/>
    <mergeCell ref="A3:A8"/>
    <mergeCell ref="B3:C3"/>
    <mergeCell ref="J3:J6"/>
    <mergeCell ref="K3:L3"/>
    <mergeCell ref="B4:C4"/>
    <mergeCell ref="K4:L4"/>
    <mergeCell ref="B5:C5"/>
    <mergeCell ref="K5:L5"/>
    <mergeCell ref="B6:C6"/>
    <mergeCell ref="K6:L6"/>
    <mergeCell ref="B7:C7"/>
    <mergeCell ref="J7:K7"/>
    <mergeCell ref="A1:O1"/>
    <mergeCell ref="B8:C8"/>
    <mergeCell ref="A26:O26"/>
    <mergeCell ref="A27:O27"/>
    <mergeCell ref="A10:A24"/>
    <mergeCell ref="J13:K14"/>
    <mergeCell ref="B15:B16"/>
    <mergeCell ref="B10:C10"/>
    <mergeCell ref="J10:L10"/>
    <mergeCell ref="B11:B12"/>
    <mergeCell ref="J11:K12"/>
    <mergeCell ref="B13:B14"/>
    <mergeCell ref="B21:B22"/>
    <mergeCell ref="B19:B20"/>
    <mergeCell ref="B23:B24"/>
    <mergeCell ref="B17:B18"/>
  </mergeCells>
  <phoneticPr fontId="20" type="noConversion"/>
  <conditionalFormatting sqref="G4:G8">
    <cfRule type="cellIs" dxfId="25" priority="25" operator="equal">
      <formula>FALSE</formula>
    </cfRule>
    <cfRule type="cellIs" dxfId="24" priority="31" operator="equal">
      <formula>TRUE</formula>
    </cfRule>
  </conditionalFormatting>
  <conditionalFormatting sqref="G11:G24">
    <cfRule type="cellIs" dxfId="23" priority="21" operator="equal">
      <formula>FALSE</formula>
    </cfRule>
    <cfRule type="cellIs" dxfId="22" priority="22" operator="equal">
      <formula>TRUE</formula>
    </cfRule>
  </conditionalFormatting>
  <conditionalFormatting sqref="H4">
    <cfRule type="cellIs" dxfId="21" priority="13" operator="equal">
      <formula>FALSE</formula>
    </cfRule>
    <cfRule type="cellIs" dxfId="20" priority="14" operator="equal">
      <formula>TRUE</formula>
    </cfRule>
  </conditionalFormatting>
  <conditionalFormatting sqref="H5">
    <cfRule type="cellIs" dxfId="19" priority="11" operator="equal">
      <formula>FALSE</formula>
    </cfRule>
    <cfRule type="cellIs" dxfId="18" priority="12" operator="equal">
      <formula>TRUE</formula>
    </cfRule>
  </conditionalFormatting>
  <conditionalFormatting sqref="H7">
    <cfRule type="cellIs" dxfId="17" priority="9" operator="equal">
      <formula>FALSE</formula>
    </cfRule>
    <cfRule type="cellIs" dxfId="16" priority="10" operator="equal">
      <formula>TRUE</formula>
    </cfRule>
  </conditionalFormatting>
  <conditionalFormatting sqref="H11 H13 H15 H19 H21">
    <cfRule type="cellIs" dxfId="15" priority="7" operator="equal">
      <formula>FALSE</formula>
    </cfRule>
    <cfRule type="cellIs" dxfId="14" priority="8" operator="equal">
      <formula>TRUE</formula>
    </cfRule>
  </conditionalFormatting>
  <conditionalFormatting sqref="Q13">
    <cfRule type="cellIs" dxfId="13" priority="5" operator="equal">
      <formula>FALSE</formula>
    </cfRule>
    <cfRule type="cellIs" dxfId="12" priority="6" operator="equal">
      <formula>TRUE</formula>
    </cfRule>
  </conditionalFormatting>
  <conditionalFormatting sqref="Q4">
    <cfRule type="cellIs" dxfId="11" priority="3" operator="equal">
      <formula>FALSE</formula>
    </cfRule>
    <cfRule type="cellIs" dxfId="10" priority="4" operator="equal">
      <formula>TRUE</formula>
    </cfRule>
  </conditionalFormatting>
  <conditionalFormatting sqref="M7:N7">
    <cfRule type="cellIs" dxfId="9" priority="1" operator="equal">
      <formula>FALSE</formula>
    </cfRule>
    <cfRule type="cellIs" dxfId="8" priority="2" operator="equal">
      <formula>TRUE</formula>
    </cfRule>
  </conditionalFormatting>
  <pageMargins left="0.51181102362204722" right="0.51181102362204722" top="0.35433070866141736" bottom="0.78740157480314965" header="0.31496062992125984" footer="0.31496062992125984"/>
  <pageSetup paperSize="9" scale="50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AW34"/>
  <sheetViews>
    <sheetView topLeftCell="E1" zoomScale="150" zoomScaleNormal="150" workbookViewId="0">
      <selection activeCell="J9" sqref="J9"/>
    </sheetView>
  </sheetViews>
  <sheetFormatPr defaultColWidth="8.88671875" defaultRowHeight="15.6"/>
  <cols>
    <col min="1" max="1" width="48.6640625" style="5" bestFit="1" customWidth="1"/>
    <col min="2" max="2" width="42.44140625" style="5" bestFit="1" customWidth="1"/>
    <col min="3" max="3" width="46.33203125" style="5" bestFit="1" customWidth="1"/>
    <col min="4" max="4" width="127.88671875" style="5" customWidth="1"/>
    <col min="5" max="8" width="9.109375" style="5"/>
    <col min="9" max="9" width="13.44140625" style="5" bestFit="1" customWidth="1"/>
    <col min="10" max="49" width="9.109375" style="5"/>
  </cols>
  <sheetData>
    <row r="1" spans="1:7">
      <c r="A1" s="5" t="s">
        <v>67</v>
      </c>
      <c r="B1" s="6" t="s">
        <v>46</v>
      </c>
      <c r="C1" s="6" t="s">
        <v>112</v>
      </c>
      <c r="D1" s="5" t="s">
        <v>24</v>
      </c>
      <c r="E1" s="5" t="s">
        <v>235</v>
      </c>
      <c r="G1" s="5" t="s">
        <v>288</v>
      </c>
    </row>
    <row r="2" spans="1:7">
      <c r="A2" s="5" t="s">
        <v>75</v>
      </c>
      <c r="B2" s="6" t="s">
        <v>31</v>
      </c>
      <c r="C2" s="6" t="s">
        <v>113</v>
      </c>
      <c r="D2" s="5" t="s">
        <v>83</v>
      </c>
      <c r="E2" s="5" t="s">
        <v>236</v>
      </c>
      <c r="G2" s="5" t="s">
        <v>286</v>
      </c>
    </row>
    <row r="3" spans="1:7">
      <c r="A3" s="5" t="s">
        <v>76</v>
      </c>
      <c r="B3" s="4" t="s">
        <v>29</v>
      </c>
      <c r="C3" s="6" t="s">
        <v>84</v>
      </c>
      <c r="D3" s="5" t="s">
        <v>20</v>
      </c>
      <c r="E3" s="5" t="s">
        <v>237</v>
      </c>
      <c r="G3" s="5" t="s">
        <v>284</v>
      </c>
    </row>
    <row r="4" spans="1:7">
      <c r="A4" s="5" t="s">
        <v>77</v>
      </c>
      <c r="B4" s="7" t="s">
        <v>105</v>
      </c>
      <c r="C4" s="6" t="s">
        <v>85</v>
      </c>
      <c r="D4" s="5" t="s">
        <v>23</v>
      </c>
      <c r="E4" s="5" t="s">
        <v>238</v>
      </c>
      <c r="G4" s="5" t="s">
        <v>282</v>
      </c>
    </row>
    <row r="5" spans="1:7">
      <c r="A5" s="5" t="s">
        <v>68</v>
      </c>
      <c r="B5" s="7" t="s">
        <v>106</v>
      </c>
      <c r="C5" s="6" t="s">
        <v>86</v>
      </c>
      <c r="D5" s="5" t="s">
        <v>26</v>
      </c>
      <c r="E5" s="5" t="s">
        <v>239</v>
      </c>
      <c r="G5" s="5" t="s">
        <v>280</v>
      </c>
    </row>
    <row r="6" spans="1:7">
      <c r="A6" s="5" t="s">
        <v>78</v>
      </c>
      <c r="B6" s="7" t="s">
        <v>107</v>
      </c>
      <c r="C6" s="6" t="s">
        <v>87</v>
      </c>
      <c r="D6" s="5" t="s">
        <v>25</v>
      </c>
      <c r="E6" s="5" t="s">
        <v>240</v>
      </c>
      <c r="G6" s="5" t="s">
        <v>278</v>
      </c>
    </row>
    <row r="7" spans="1:7">
      <c r="A7" s="5" t="s">
        <v>186</v>
      </c>
      <c r="B7" s="7" t="s">
        <v>108</v>
      </c>
      <c r="C7" s="6" t="s">
        <v>88</v>
      </c>
      <c r="D7" s="5" t="s">
        <v>89</v>
      </c>
      <c r="G7" s="5" t="s">
        <v>276</v>
      </c>
    </row>
    <row r="8" spans="1:7">
      <c r="A8" s="5" t="s">
        <v>69</v>
      </c>
      <c r="B8" s="7" t="s">
        <v>109</v>
      </c>
      <c r="C8" s="6" t="s">
        <v>90</v>
      </c>
      <c r="D8" s="5" t="s">
        <v>17</v>
      </c>
      <c r="G8" s="5" t="s">
        <v>275</v>
      </c>
    </row>
    <row r="9" spans="1:7">
      <c r="A9" s="5" t="s">
        <v>79</v>
      </c>
      <c r="B9" s="7" t="s">
        <v>116</v>
      </c>
      <c r="C9" s="6" t="s">
        <v>91</v>
      </c>
      <c r="D9" s="5" t="s">
        <v>22</v>
      </c>
      <c r="G9" s="5" t="s">
        <v>273</v>
      </c>
    </row>
    <row r="10" spans="1:7">
      <c r="A10" s="5" t="s">
        <v>70</v>
      </c>
      <c r="B10" s="6" t="s">
        <v>30</v>
      </c>
      <c r="C10" s="6" t="s">
        <v>92</v>
      </c>
      <c r="D10" s="5" t="s">
        <v>115</v>
      </c>
      <c r="G10" s="5" t="s">
        <v>272</v>
      </c>
    </row>
    <row r="11" spans="1:7">
      <c r="A11" s="5" t="s">
        <v>71</v>
      </c>
      <c r="B11" s="6" t="s">
        <v>0</v>
      </c>
      <c r="C11" s="6" t="s">
        <v>93</v>
      </c>
      <c r="D11" s="5" t="s">
        <v>14</v>
      </c>
      <c r="G11" s="5" t="s">
        <v>269</v>
      </c>
    </row>
    <row r="12" spans="1:7">
      <c r="A12" s="5" t="s">
        <v>80</v>
      </c>
      <c r="C12" s="6" t="s">
        <v>94</v>
      </c>
      <c r="D12" s="5" t="s">
        <v>95</v>
      </c>
      <c r="G12" s="5" t="s">
        <v>267</v>
      </c>
    </row>
    <row r="13" spans="1:7">
      <c r="A13" s="5" t="s">
        <v>81</v>
      </c>
      <c r="B13" s="4"/>
      <c r="C13" s="6" t="s">
        <v>96</v>
      </c>
      <c r="D13" s="5" t="s">
        <v>21</v>
      </c>
      <c r="G13" s="5" t="s">
        <v>265</v>
      </c>
    </row>
    <row r="14" spans="1:7">
      <c r="A14" s="5" t="s">
        <v>72</v>
      </c>
      <c r="B14" s="4"/>
      <c r="C14" s="6" t="s">
        <v>97</v>
      </c>
      <c r="D14" s="5" t="s">
        <v>27</v>
      </c>
      <c r="G14" s="5" t="s">
        <v>263</v>
      </c>
    </row>
    <row r="15" spans="1:7">
      <c r="A15" s="5" t="s">
        <v>82</v>
      </c>
      <c r="B15" s="4"/>
      <c r="C15" s="6" t="s">
        <v>98</v>
      </c>
      <c r="D15" s="5" t="s">
        <v>15</v>
      </c>
      <c r="G15" s="5" t="s">
        <v>262</v>
      </c>
    </row>
    <row r="16" spans="1:7">
      <c r="A16" s="5" t="s">
        <v>73</v>
      </c>
      <c r="B16" s="4"/>
      <c r="C16" s="6" t="s">
        <v>99</v>
      </c>
      <c r="D16" s="5" t="s">
        <v>114</v>
      </c>
      <c r="G16" s="5" t="s">
        <v>237</v>
      </c>
    </row>
    <row r="17" spans="1:7">
      <c r="A17" s="5" t="s">
        <v>74</v>
      </c>
      <c r="B17" s="4"/>
      <c r="C17" s="6" t="s">
        <v>100</v>
      </c>
      <c r="G17" s="5" t="s">
        <v>261</v>
      </c>
    </row>
    <row r="18" spans="1:7">
      <c r="B18" s="4"/>
      <c r="C18" s="6" t="s">
        <v>101</v>
      </c>
      <c r="G18" s="5" t="s">
        <v>260</v>
      </c>
    </row>
    <row r="19" spans="1:7">
      <c r="C19" s="6" t="s">
        <v>102</v>
      </c>
      <c r="G19" s="5" t="s">
        <v>259</v>
      </c>
    </row>
    <row r="20" spans="1:7">
      <c r="C20" s="6" t="s">
        <v>103</v>
      </c>
      <c r="G20" s="5" t="s">
        <v>258</v>
      </c>
    </row>
    <row r="21" spans="1:7">
      <c r="C21" s="6" t="s">
        <v>104</v>
      </c>
      <c r="G21" s="5" t="s">
        <v>257</v>
      </c>
    </row>
    <row r="22" spans="1:7">
      <c r="G22" s="5" t="s">
        <v>256</v>
      </c>
    </row>
    <row r="23" spans="1:7">
      <c r="G23" s="5" t="s">
        <v>255</v>
      </c>
    </row>
    <row r="24" spans="1:7">
      <c r="G24" s="5" t="s">
        <v>254</v>
      </c>
    </row>
    <row r="25" spans="1:7">
      <c r="G25" s="5" t="s">
        <v>253</v>
      </c>
    </row>
    <row r="26" spans="1:7">
      <c r="G26" s="5" t="s">
        <v>252</v>
      </c>
    </row>
    <row r="27" spans="1:7">
      <c r="G27" s="5" t="s">
        <v>251</v>
      </c>
    </row>
    <row r="28" spans="1:7">
      <c r="G28" s="5" t="s">
        <v>339</v>
      </c>
    </row>
    <row r="34" spans="1:1">
      <c r="A34" s="5" t="s">
        <v>336</v>
      </c>
    </row>
  </sheetData>
  <sortState xmlns:xlrd2="http://schemas.microsoft.com/office/spreadsheetml/2017/richdata2" ref="D1:D15">
    <sortCondition ref="D1"/>
  </sortState>
  <pageMargins left="0.511811024" right="0.511811024" top="0.78740157499999996" bottom="0.78740157499999996" header="0.31496062000000002" footer="0.31496062000000002"/>
  <pageSetup paperSize="2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AR36"/>
  <sheetViews>
    <sheetView showGridLines="0" topLeftCell="A2" zoomScale="120" zoomScaleNormal="120" workbookViewId="0">
      <pane xSplit="1" ySplit="2" topLeftCell="W4" activePane="bottomRight" state="frozen"/>
      <selection activeCell="H17" sqref="H17"/>
      <selection pane="topRight" activeCell="H17" sqref="H17"/>
      <selection pane="bottomLeft" activeCell="H17" sqref="H17"/>
      <selection pane="bottomRight" activeCell="J28" sqref="J28"/>
    </sheetView>
  </sheetViews>
  <sheetFormatPr defaultColWidth="9.109375" defaultRowHeight="15.6" zeroHeight="1" outlineLevelCol="1"/>
  <cols>
    <col min="1" max="1" width="13.33203125" style="21" hidden="1" customWidth="1" outlineLevel="1"/>
    <col min="2" max="9" width="15.44140625" style="20" hidden="1" customWidth="1" outlineLevel="1"/>
    <col min="10" max="10" width="16.109375" style="18" hidden="1" customWidth="1" outlineLevel="1"/>
    <col min="11" max="11" width="13.33203125" style="19" hidden="1" customWidth="1" outlineLevel="1"/>
    <col min="12" max="14" width="15.44140625" style="18" hidden="1" customWidth="1" outlineLevel="1"/>
    <col min="15" max="15" width="2.33203125" style="18" hidden="1" customWidth="1" outlineLevel="1"/>
    <col min="16" max="17" width="16.44140625" style="18" hidden="1" customWidth="1" outlineLevel="1"/>
    <col min="18" max="18" width="5.6640625" style="17" hidden="1" customWidth="1" outlineLevel="1"/>
    <col min="19" max="19" width="15.44140625" style="18" hidden="1" customWidth="1" outlineLevel="1"/>
    <col min="20" max="20" width="2.88671875" style="17" hidden="1" customWidth="1" outlineLevel="1"/>
    <col min="21" max="21" width="16.109375" style="18" hidden="1" customWidth="1" outlineLevel="1"/>
    <col min="22" max="22" width="2.88671875" style="17" hidden="1" customWidth="1" outlineLevel="1"/>
    <col min="23" max="23" width="16.44140625" style="15" hidden="1" customWidth="1" outlineLevel="1"/>
    <col min="24" max="24" width="19.88671875" style="15" hidden="1" customWidth="1" outlineLevel="1"/>
    <col min="25" max="25" width="16.44140625" style="16" hidden="1" customWidth="1" outlineLevel="1"/>
    <col min="26" max="26" width="16.44140625" style="15" hidden="1" customWidth="1" outlineLevel="1"/>
    <col min="27" max="27" width="16.44140625" style="16" hidden="1" customWidth="1" outlineLevel="1"/>
    <col min="28" max="28" width="16.44140625" style="15" hidden="1" customWidth="1" outlineLevel="1"/>
    <col min="29" max="29" width="2.88671875" style="1" hidden="1" customWidth="1" outlineLevel="1"/>
    <col min="30" max="30" width="11.33203125" style="1" hidden="1" customWidth="1" outlineLevel="1"/>
    <col min="31" max="31" width="3.33203125" style="1" hidden="1" customWidth="1" outlineLevel="1"/>
    <col min="32" max="32" width="18.88671875" style="1" hidden="1" customWidth="1" outlineLevel="1"/>
    <col min="33" max="33" width="4.6640625" style="1" hidden="1" customWidth="1" outlineLevel="1"/>
    <col min="34" max="34" width="18.88671875" style="15" hidden="1" customWidth="1" outlineLevel="1"/>
    <col min="35" max="35" width="9.88671875" style="1" hidden="1" customWidth="1" outlineLevel="1"/>
    <col min="36" max="36" width="39.109375" style="2" bestFit="1" customWidth="1" collapsed="1"/>
    <col min="37" max="37" width="15.6640625" style="2" bestFit="1" customWidth="1"/>
    <col min="38" max="38" width="1" style="1" customWidth="1"/>
    <col min="39" max="39" width="39" style="2" bestFit="1" customWidth="1"/>
    <col min="40" max="40" width="15.44140625" style="1" bestFit="1" customWidth="1"/>
    <col min="41" max="43" width="9.109375" style="1"/>
    <col min="44" max="44" width="12.44140625" style="1" bestFit="1" customWidth="1"/>
    <col min="45" max="16384" width="9.109375" style="1"/>
  </cols>
  <sheetData>
    <row r="1" spans="1:44" ht="16.5" hidden="1" customHeight="1" thickBot="1">
      <c r="A1" s="452" t="s">
        <v>314</v>
      </c>
      <c r="B1" s="448">
        <v>0.8</v>
      </c>
      <c r="C1" s="448"/>
      <c r="D1" s="448"/>
      <c r="E1" s="448"/>
      <c r="F1" s="448"/>
      <c r="G1" s="448"/>
      <c r="H1" s="448"/>
      <c r="I1" s="448"/>
      <c r="J1" s="448"/>
      <c r="L1" s="442" t="s">
        <v>313</v>
      </c>
      <c r="M1" s="443"/>
      <c r="N1" s="444"/>
      <c r="P1" s="443" t="s">
        <v>312</v>
      </c>
      <c r="Q1" s="443"/>
      <c r="S1" s="443" t="s">
        <v>311</v>
      </c>
      <c r="U1" s="443" t="s">
        <v>310</v>
      </c>
      <c r="W1" s="448" t="s">
        <v>309</v>
      </c>
      <c r="X1" s="448"/>
      <c r="Y1" s="448"/>
      <c r="Z1" s="448"/>
      <c r="AA1" s="448"/>
      <c r="AB1" s="448"/>
    </row>
    <row r="2" spans="1:44" s="53" customFormat="1" ht="16.2" thickBot="1">
      <c r="A2" s="452"/>
      <c r="B2" s="449" t="s">
        <v>307</v>
      </c>
      <c r="C2" s="449"/>
      <c r="D2" s="449"/>
      <c r="E2" s="449" t="s">
        <v>306</v>
      </c>
      <c r="F2" s="449"/>
      <c r="G2" s="449"/>
      <c r="H2" s="439" t="s">
        <v>305</v>
      </c>
      <c r="I2" s="439" t="s">
        <v>308</v>
      </c>
      <c r="J2" s="441" t="s">
        <v>315</v>
      </c>
      <c r="K2" s="59"/>
      <c r="L2" s="445"/>
      <c r="M2" s="446"/>
      <c r="N2" s="447"/>
      <c r="O2" s="58"/>
      <c r="P2" s="446"/>
      <c r="Q2" s="446"/>
      <c r="R2" s="57"/>
      <c r="S2" s="446"/>
      <c r="T2" s="57"/>
      <c r="U2" s="446"/>
      <c r="V2" s="57"/>
      <c r="W2" s="449" t="s">
        <v>307</v>
      </c>
      <c r="X2" s="449"/>
      <c r="Y2" s="449"/>
      <c r="Z2" s="449" t="s">
        <v>306</v>
      </c>
      <c r="AA2" s="449"/>
      <c r="AB2" s="56" t="s">
        <v>305</v>
      </c>
      <c r="AD2" s="450" t="s">
        <v>279</v>
      </c>
      <c r="AF2" s="450" t="s">
        <v>304</v>
      </c>
      <c r="AH2" s="453" t="s">
        <v>333</v>
      </c>
      <c r="AJ2" s="55" t="s">
        <v>303</v>
      </c>
      <c r="AK2" s="54" t="e">
        <f>'Indicadores e Metas'!#REF!</f>
        <v>#REF!</v>
      </c>
      <c r="AM2" s="437" t="s">
        <v>302</v>
      </c>
      <c r="AN2" s="438"/>
    </row>
    <row r="3" spans="1:44" s="42" customFormat="1" ht="20.25" customHeight="1" thickBot="1">
      <c r="A3" s="452"/>
      <c r="B3" s="50" t="s">
        <v>301</v>
      </c>
      <c r="C3" s="50" t="s">
        <v>300</v>
      </c>
      <c r="D3" s="50" t="s">
        <v>299</v>
      </c>
      <c r="E3" s="50" t="s">
        <v>301</v>
      </c>
      <c r="F3" s="50" t="s">
        <v>300</v>
      </c>
      <c r="G3" s="50" t="s">
        <v>299</v>
      </c>
      <c r="H3" s="440"/>
      <c r="I3" s="440"/>
      <c r="J3" s="440"/>
      <c r="K3" s="52"/>
      <c r="L3" s="50" t="s">
        <v>298</v>
      </c>
      <c r="M3" s="50" t="s">
        <v>297</v>
      </c>
      <c r="N3" s="50" t="s">
        <v>296</v>
      </c>
      <c r="O3" s="51"/>
      <c r="P3" s="62" t="s">
        <v>295</v>
      </c>
      <c r="Q3" s="62" t="s">
        <v>294</v>
      </c>
      <c r="R3" s="48"/>
      <c r="S3" s="49" t="s">
        <v>293</v>
      </c>
      <c r="T3" s="48"/>
      <c r="U3" s="49" t="s">
        <v>292</v>
      </c>
      <c r="V3" s="48"/>
      <c r="W3" s="47" t="s">
        <v>316</v>
      </c>
      <c r="X3" s="47" t="s">
        <v>317</v>
      </c>
      <c r="Y3" s="45" t="s">
        <v>291</v>
      </c>
      <c r="Z3" s="46" t="s">
        <v>290</v>
      </c>
      <c r="AA3" s="45" t="s">
        <v>291</v>
      </c>
      <c r="AB3" s="44" t="s">
        <v>290</v>
      </c>
      <c r="AD3" s="451"/>
      <c r="AF3" s="451"/>
      <c r="AH3" s="453"/>
      <c r="AJ3" s="37" t="s">
        <v>5</v>
      </c>
      <c r="AK3" s="43" t="e">
        <f>AK4+AK14+AK15+AK16</f>
        <v>#REF!</v>
      </c>
      <c r="AM3" s="37" t="s">
        <v>289</v>
      </c>
      <c r="AN3" s="36" t="e">
        <f>VLOOKUP($AK$2,'Diretrizes - Resumo'!$A$4:$Q$30,16,)</f>
        <v>#REF!</v>
      </c>
    </row>
    <row r="4" spans="1:44" ht="16.2" thickBot="1">
      <c r="A4" s="27" t="s">
        <v>288</v>
      </c>
      <c r="B4" s="20">
        <v>173779.93599999999</v>
      </c>
      <c r="C4" s="20">
        <v>28680.296000000002</v>
      </c>
      <c r="D4" s="20">
        <f t="shared" ref="D4" si="0">B4+C4</f>
        <v>202460.23199999999</v>
      </c>
      <c r="E4" s="20">
        <v>26559.703999999998</v>
      </c>
      <c r="F4" s="20">
        <v>7609.2720000000008</v>
      </c>
      <c r="G4" s="20">
        <f t="shared" ref="G4" si="1">E4+F4</f>
        <v>34168.975999999995</v>
      </c>
      <c r="H4" s="20">
        <v>235854.82</v>
      </c>
      <c r="I4" s="20">
        <v>24707.91</v>
      </c>
      <c r="J4" s="26">
        <f t="shared" ref="J4:J30" si="2">I4+H4+G4+D4</f>
        <v>497191.93799999997</v>
      </c>
      <c r="K4" s="60">
        <v>0</v>
      </c>
      <c r="L4" s="20">
        <v>9108.9120471532424</v>
      </c>
      <c r="M4" s="20">
        <v>17240</v>
      </c>
      <c r="N4" s="20">
        <v>754537.39605743252</v>
      </c>
      <c r="P4" s="20">
        <v>39070.160000000003</v>
      </c>
      <c r="Q4" s="20">
        <v>4657.0560574324481</v>
      </c>
      <c r="R4" s="61">
        <v>0</v>
      </c>
      <c r="S4" s="20"/>
      <c r="U4" s="20">
        <v>2525.3977976760007</v>
      </c>
      <c r="W4" s="24">
        <v>736</v>
      </c>
      <c r="X4" s="24">
        <v>725</v>
      </c>
      <c r="Y4" s="25">
        <v>36.137931034482762</v>
      </c>
      <c r="Z4" s="24">
        <v>146</v>
      </c>
      <c r="AA4" s="25">
        <v>52.054794520547951</v>
      </c>
      <c r="AB4" s="24">
        <v>2724</v>
      </c>
      <c r="AD4" s="17">
        <v>0</v>
      </c>
      <c r="AF4" s="17">
        <v>669680.75</v>
      </c>
      <c r="AG4" s="53"/>
      <c r="AH4" s="120">
        <v>906876</v>
      </c>
      <c r="AJ4" s="31" t="s">
        <v>54</v>
      </c>
      <c r="AK4" s="41" t="e">
        <f>AK5+AK12+AK13</f>
        <v>#REF!</v>
      </c>
      <c r="AM4" s="31" t="s">
        <v>287</v>
      </c>
      <c r="AN4" s="36" t="e">
        <f>VLOOKUP($AK$2,'Diretrizes - Resumo'!$A$4:$Q$30,17,)</f>
        <v>#REF!</v>
      </c>
      <c r="AR4" s="23"/>
    </row>
    <row r="5" spans="1:44" ht="16.2" thickBot="1">
      <c r="A5" s="27" t="s">
        <v>286</v>
      </c>
      <c r="B5" s="20">
        <v>529644.17599999998</v>
      </c>
      <c r="C5" s="20">
        <v>119850.66399999999</v>
      </c>
      <c r="D5" s="20">
        <f t="shared" ref="D5:D30" si="3">B5+C5</f>
        <v>649494.84</v>
      </c>
      <c r="E5" s="20">
        <v>28274.615999999998</v>
      </c>
      <c r="F5" s="20">
        <v>19201.423999999999</v>
      </c>
      <c r="G5" s="20">
        <f t="shared" ref="G5:G30" si="4">E5+F5</f>
        <v>47476.039999999994</v>
      </c>
      <c r="H5" s="20">
        <v>623231.63</v>
      </c>
      <c r="I5" s="20">
        <v>85690.17</v>
      </c>
      <c r="J5" s="26">
        <f t="shared" si="2"/>
        <v>1405892.6800000002</v>
      </c>
      <c r="K5" s="60">
        <v>0</v>
      </c>
      <c r="L5" s="20">
        <v>25584.128262041868</v>
      </c>
      <c r="M5" s="20"/>
      <c r="N5" s="20"/>
      <c r="P5" s="20">
        <v>109736.05</v>
      </c>
      <c r="Q5" s="20">
        <v>12970.234884836624</v>
      </c>
      <c r="R5" s="61">
        <v>0</v>
      </c>
      <c r="S5" s="20"/>
      <c r="U5" s="20">
        <v>5973.4512300060005</v>
      </c>
      <c r="W5" s="24">
        <v>2183</v>
      </c>
      <c r="X5" s="24">
        <v>2095</v>
      </c>
      <c r="Y5" s="25">
        <v>32.410501193317415</v>
      </c>
      <c r="Z5" s="24">
        <v>174</v>
      </c>
      <c r="AA5" s="25">
        <v>56.896551724137936</v>
      </c>
      <c r="AB5" s="24">
        <v>7198</v>
      </c>
      <c r="AD5" s="17">
        <v>0</v>
      </c>
      <c r="AF5" s="17">
        <v>459563.48000000004</v>
      </c>
      <c r="AG5" s="17"/>
      <c r="AH5" s="120">
        <v>3365351</v>
      </c>
      <c r="AJ5" s="31" t="s">
        <v>6</v>
      </c>
      <c r="AK5" s="41" t="e">
        <f>AK6+AK9</f>
        <v>#REF!</v>
      </c>
      <c r="AM5" s="31" t="s">
        <v>285</v>
      </c>
      <c r="AN5" s="36" t="e">
        <f>VLOOKUP($AK$2,'Diretrizes - Resumo'!$A$4:$S$30,19,)</f>
        <v>#REF!</v>
      </c>
      <c r="AR5" s="23"/>
    </row>
    <row r="6" spans="1:44" ht="16.2" thickBot="1">
      <c r="A6" s="27" t="s">
        <v>284</v>
      </c>
      <c r="B6" s="20">
        <v>571370.08000000007</v>
      </c>
      <c r="C6" s="20">
        <v>121138.20800000001</v>
      </c>
      <c r="D6" s="20">
        <f t="shared" si="3"/>
        <v>692508.28800000006</v>
      </c>
      <c r="E6" s="20">
        <v>46580.504000000001</v>
      </c>
      <c r="F6" s="20">
        <v>21504.728000000003</v>
      </c>
      <c r="G6" s="20">
        <f t="shared" si="4"/>
        <v>68085.232000000004</v>
      </c>
      <c r="H6" s="20">
        <v>580459.14</v>
      </c>
      <c r="I6" s="20">
        <v>67052.63</v>
      </c>
      <c r="J6" s="26">
        <f t="shared" si="2"/>
        <v>1408105.29</v>
      </c>
      <c r="K6" s="60">
        <v>0</v>
      </c>
      <c r="L6" s="20">
        <v>25660.497814048096</v>
      </c>
      <c r="M6" s="20"/>
      <c r="N6" s="20"/>
      <c r="P6" s="20">
        <v>110063.62</v>
      </c>
      <c r="Q6" s="20">
        <v>12732.700211732939</v>
      </c>
      <c r="R6" s="61">
        <v>0</v>
      </c>
      <c r="S6" s="20"/>
      <c r="U6" s="20">
        <v>5608.741874710001</v>
      </c>
      <c r="W6" s="24">
        <v>2200</v>
      </c>
      <c r="X6" s="24">
        <v>2182</v>
      </c>
      <c r="Y6" s="25">
        <v>32.447296058661777</v>
      </c>
      <c r="Z6" s="24">
        <v>260</v>
      </c>
      <c r="AA6" s="25">
        <v>52.692307692307693</v>
      </c>
      <c r="AB6" s="24">
        <v>6704</v>
      </c>
      <c r="AD6" s="17">
        <v>0</v>
      </c>
      <c r="AF6" s="17">
        <v>984059.28000000014</v>
      </c>
      <c r="AG6" s="17"/>
      <c r="AH6" s="120">
        <v>4269995</v>
      </c>
      <c r="AJ6" s="31" t="s">
        <v>7</v>
      </c>
      <c r="AK6" s="40" t="e">
        <f>SUM(AK7:AK8)</f>
        <v>#REF!</v>
      </c>
      <c r="AM6" s="31" t="s">
        <v>283</v>
      </c>
      <c r="AN6" s="36" t="e">
        <f>VLOOKUP($AK$2,'Diretrizes - Resumo'!$A$4:$M$30,12,)</f>
        <v>#REF!</v>
      </c>
      <c r="AR6" s="23"/>
    </row>
    <row r="7" spans="1:44" ht="16.2" thickBot="1">
      <c r="A7" s="27" t="s">
        <v>282</v>
      </c>
      <c r="B7" s="20">
        <v>199437.94400000002</v>
      </c>
      <c r="C7" s="20">
        <v>40871.728000000003</v>
      </c>
      <c r="D7" s="20">
        <f t="shared" si="3"/>
        <v>240309.67200000002</v>
      </c>
      <c r="E7" s="20">
        <v>33169.32</v>
      </c>
      <c r="F7" s="20">
        <v>22426.176000000003</v>
      </c>
      <c r="G7" s="20">
        <f t="shared" si="4"/>
        <v>55595.495999999999</v>
      </c>
      <c r="H7" s="20">
        <v>297156.28999999998</v>
      </c>
      <c r="I7" s="20">
        <v>29653.07</v>
      </c>
      <c r="J7" s="26">
        <f t="shared" si="2"/>
        <v>622714.52799999993</v>
      </c>
      <c r="K7" s="60">
        <v>0</v>
      </c>
      <c r="L7" s="20">
        <v>11617.791798420327</v>
      </c>
      <c r="M7" s="20">
        <v>18040</v>
      </c>
      <c r="N7" s="20">
        <v>629725.45006169006</v>
      </c>
      <c r="P7" s="20">
        <v>49831.31</v>
      </c>
      <c r="Q7" s="20">
        <v>5762.7040616900194</v>
      </c>
      <c r="R7" s="61">
        <v>0</v>
      </c>
      <c r="S7" s="20"/>
      <c r="U7" s="20">
        <v>2768.9817116520007</v>
      </c>
      <c r="W7" s="24">
        <v>859.6</v>
      </c>
      <c r="X7" s="24">
        <v>853.6</v>
      </c>
      <c r="Y7" s="25">
        <v>39.081537019681356</v>
      </c>
      <c r="Z7" s="24">
        <v>292</v>
      </c>
      <c r="AA7" s="25">
        <v>70.205479452054789</v>
      </c>
      <c r="AB7" s="24">
        <v>3432</v>
      </c>
      <c r="AD7" s="17">
        <v>0</v>
      </c>
      <c r="AF7" s="17">
        <v>829755.32</v>
      </c>
      <c r="AG7" s="17"/>
      <c r="AH7" s="120">
        <v>877613</v>
      </c>
      <c r="AJ7" s="38" t="s">
        <v>183</v>
      </c>
      <c r="AK7" s="36" t="e">
        <f>VLOOKUP($AK$2,'Diretrizes - Resumo'!$A$4:$I$30,2,)</f>
        <v>#REF!</v>
      </c>
      <c r="AM7" s="31" t="s">
        <v>281</v>
      </c>
      <c r="AN7" s="36" t="e">
        <f>VLOOKUP($AK$2,'Diretrizes - Resumo'!$A$4:$M$30,13,)</f>
        <v>#REF!</v>
      </c>
      <c r="AR7" s="23"/>
    </row>
    <row r="8" spans="1:44" ht="16.2" thickBot="1">
      <c r="A8" s="27" t="s">
        <v>280</v>
      </c>
      <c r="B8" s="20">
        <v>1635572.3840000003</v>
      </c>
      <c r="C8" s="20">
        <v>294898.40000000002</v>
      </c>
      <c r="D8" s="20">
        <f t="shared" si="3"/>
        <v>1930470.7840000005</v>
      </c>
      <c r="E8" s="20">
        <v>190196.36800000002</v>
      </c>
      <c r="F8" s="20">
        <v>80935.024000000005</v>
      </c>
      <c r="G8" s="20">
        <f t="shared" si="4"/>
        <v>271131.39199999999</v>
      </c>
      <c r="H8" s="20">
        <v>1581889.68</v>
      </c>
      <c r="I8" s="20">
        <v>190281.52</v>
      </c>
      <c r="J8" s="26">
        <f t="shared" si="2"/>
        <v>3973773.3760000002</v>
      </c>
      <c r="K8" s="60">
        <v>0</v>
      </c>
      <c r="L8" s="20">
        <v>72931.013699093732</v>
      </c>
      <c r="M8" s="20"/>
      <c r="N8" s="20"/>
      <c r="P8" s="20">
        <v>312817.45</v>
      </c>
      <c r="Q8" s="20">
        <v>37600.721619223594</v>
      </c>
      <c r="R8" s="61">
        <v>0</v>
      </c>
      <c r="S8" s="20"/>
      <c r="U8" s="20">
        <v>13509.034775547998</v>
      </c>
      <c r="W8" s="24">
        <v>7366.3</v>
      </c>
      <c r="X8" s="24">
        <v>6563.3</v>
      </c>
      <c r="Y8" s="25">
        <v>30.857952554355279</v>
      </c>
      <c r="Z8" s="24">
        <v>1025</v>
      </c>
      <c r="AA8" s="25">
        <v>50.926829268292686</v>
      </c>
      <c r="AB8" s="24">
        <v>18270</v>
      </c>
      <c r="AD8" s="17">
        <v>0</v>
      </c>
      <c r="AF8" s="17">
        <v>6314976.8100000005</v>
      </c>
      <c r="AG8" s="17"/>
      <c r="AH8" s="120">
        <v>14985284</v>
      </c>
      <c r="AJ8" s="38" t="s">
        <v>52</v>
      </c>
      <c r="AK8" s="36" t="e">
        <f>VLOOKUP($AK$2,'Diretrizes - Resumo'!$A$4:$I$30,3,)</f>
        <v>#REF!</v>
      </c>
      <c r="AM8" s="82" t="s">
        <v>279</v>
      </c>
      <c r="AN8" s="81" t="e">
        <f>VLOOKUP($AK$2,$A$4:$AF$30,29,)</f>
        <v>#REF!</v>
      </c>
      <c r="AR8" s="23"/>
    </row>
    <row r="9" spans="1:44" ht="16.2" thickBot="1">
      <c r="A9" s="27" t="s">
        <v>278</v>
      </c>
      <c r="B9" s="20">
        <v>1073890.6000000001</v>
      </c>
      <c r="C9" s="20">
        <v>168626.54399999999</v>
      </c>
      <c r="D9" s="20">
        <f t="shared" si="3"/>
        <v>1242517.1440000001</v>
      </c>
      <c r="E9" s="20">
        <v>95297.712</v>
      </c>
      <c r="F9" s="20">
        <v>29076.736000000001</v>
      </c>
      <c r="G9" s="20">
        <f t="shared" si="4"/>
        <v>124374.448</v>
      </c>
      <c r="H9" s="20">
        <v>1034072.71</v>
      </c>
      <c r="I9" s="20">
        <v>107937.7</v>
      </c>
      <c r="J9" s="26">
        <f t="shared" si="2"/>
        <v>2508902.0020000003</v>
      </c>
      <c r="K9" s="60">
        <v>0</v>
      </c>
      <c r="L9" s="20">
        <v>45719.891289323386</v>
      </c>
      <c r="M9" s="20"/>
      <c r="N9" s="20"/>
      <c r="P9" s="20">
        <v>196102.85</v>
      </c>
      <c r="Q9" s="20">
        <v>23608.631521290605</v>
      </c>
      <c r="R9" s="61">
        <v>0</v>
      </c>
      <c r="S9" s="20">
        <v>17423.81414516392</v>
      </c>
      <c r="U9" s="20">
        <v>8893.9349598320005</v>
      </c>
      <c r="W9" s="24">
        <v>4728</v>
      </c>
      <c r="X9" s="24">
        <v>4542</v>
      </c>
      <c r="Y9" s="25">
        <v>32.298546895640683</v>
      </c>
      <c r="Z9" s="24">
        <v>437</v>
      </c>
      <c r="AA9" s="25">
        <v>42.334096109839813</v>
      </c>
      <c r="AB9" s="24">
        <v>11943</v>
      </c>
      <c r="AD9" s="17">
        <v>0</v>
      </c>
      <c r="AF9" s="17">
        <v>1187299.8600000001</v>
      </c>
      <c r="AG9" s="17"/>
      <c r="AH9" s="120">
        <v>9240580</v>
      </c>
      <c r="AJ9" s="31" t="s">
        <v>8</v>
      </c>
      <c r="AK9" s="39" t="e">
        <f>SUM(AK10:AK11)</f>
        <v>#REF!</v>
      </c>
      <c r="AM9" s="31" t="s">
        <v>277</v>
      </c>
      <c r="AN9" s="36" t="e">
        <f>VLOOKUP($AK$2,$A$4:$AF$30,32,)</f>
        <v>#REF!</v>
      </c>
      <c r="AR9" s="23"/>
    </row>
    <row r="10" spans="1:44" ht="16.2" thickBot="1">
      <c r="A10" s="27" t="s">
        <v>276</v>
      </c>
      <c r="B10" s="20">
        <v>1778840.4559999995</v>
      </c>
      <c r="C10" s="20">
        <v>272509.68800000002</v>
      </c>
      <c r="D10" s="20">
        <f t="shared" si="3"/>
        <v>2051350.1439999996</v>
      </c>
      <c r="E10" s="20">
        <v>133096.54399999999</v>
      </c>
      <c r="F10" s="20">
        <v>53126.96</v>
      </c>
      <c r="G10" s="20">
        <f t="shared" si="4"/>
        <v>186223.50399999999</v>
      </c>
      <c r="H10" s="20">
        <v>1539550.1</v>
      </c>
      <c r="I10" s="20">
        <v>216423.76</v>
      </c>
      <c r="J10" s="26">
        <f t="shared" si="2"/>
        <v>3993547.5079999994</v>
      </c>
      <c r="K10" s="60">
        <v>0</v>
      </c>
      <c r="L10" s="20">
        <v>72880.70202486412</v>
      </c>
      <c r="M10" s="20"/>
      <c r="N10" s="20"/>
      <c r="P10" s="20">
        <v>312601.65000000002</v>
      </c>
      <c r="Q10" s="20">
        <v>42200.896909131261</v>
      </c>
      <c r="R10" s="61">
        <v>0</v>
      </c>
      <c r="S10" s="20"/>
      <c r="U10" s="20">
        <v>14886.088719709998</v>
      </c>
      <c r="W10" s="24">
        <v>6845.6</v>
      </c>
      <c r="X10" s="24">
        <v>6318.6</v>
      </c>
      <c r="Y10" s="25">
        <v>26.581837748868423</v>
      </c>
      <c r="Z10" s="24">
        <v>804</v>
      </c>
      <c r="AA10" s="25">
        <v>56.218905472636813</v>
      </c>
      <c r="AB10" s="24">
        <v>17781</v>
      </c>
      <c r="AD10" s="17">
        <v>0</v>
      </c>
      <c r="AF10" s="17">
        <v>1020703.8599999999</v>
      </c>
      <c r="AG10" s="17"/>
      <c r="AH10" s="120">
        <v>3094325</v>
      </c>
      <c r="AJ10" s="38" t="s">
        <v>184</v>
      </c>
      <c r="AK10" s="36" t="e">
        <f>VLOOKUP($AK$2,'Diretrizes - Resumo'!$A$4:$J$30,5,)</f>
        <v>#REF!</v>
      </c>
      <c r="AR10" s="23"/>
    </row>
    <row r="11" spans="1:44" ht="16.2" thickBot="1">
      <c r="A11" s="27" t="s">
        <v>275</v>
      </c>
      <c r="B11" s="20">
        <v>1437738.3759999999</v>
      </c>
      <c r="C11" s="20">
        <v>82239.352000000014</v>
      </c>
      <c r="D11" s="20">
        <f t="shared" si="3"/>
        <v>1519977.7279999999</v>
      </c>
      <c r="E11" s="20">
        <v>128752.43200000002</v>
      </c>
      <c r="F11" s="20">
        <v>14149.88</v>
      </c>
      <c r="G11" s="20">
        <f t="shared" si="4"/>
        <v>142902.31200000001</v>
      </c>
      <c r="H11" s="20">
        <v>1327246.1399999999</v>
      </c>
      <c r="I11" s="20">
        <v>149580.47</v>
      </c>
      <c r="J11" s="26">
        <f t="shared" si="2"/>
        <v>3139706.6499999994</v>
      </c>
      <c r="K11" s="60">
        <v>0</v>
      </c>
      <c r="L11" s="20">
        <v>57264.654858299888</v>
      </c>
      <c r="M11" s="20"/>
      <c r="N11" s="20"/>
      <c r="P11" s="20">
        <v>245620.93</v>
      </c>
      <c r="Q11" s="20">
        <v>29557.581779246742</v>
      </c>
      <c r="R11" s="61">
        <v>0</v>
      </c>
      <c r="S11" s="20"/>
      <c r="U11" s="20">
        <v>11997.369723430005</v>
      </c>
      <c r="W11" s="24">
        <v>4055</v>
      </c>
      <c r="X11" s="24">
        <v>3960</v>
      </c>
      <c r="Y11" s="25">
        <v>6.868686868686865</v>
      </c>
      <c r="Z11" s="24">
        <v>484</v>
      </c>
      <c r="AA11" s="25">
        <v>29.545454545454547</v>
      </c>
      <c r="AB11" s="24">
        <v>15329</v>
      </c>
      <c r="AD11" s="17">
        <v>0</v>
      </c>
      <c r="AF11" s="17">
        <v>2085182.6499999997</v>
      </c>
      <c r="AG11" s="17"/>
      <c r="AH11" s="120">
        <v>4108508</v>
      </c>
      <c r="AJ11" s="38" t="s">
        <v>53</v>
      </c>
      <c r="AK11" s="36" t="e">
        <f>VLOOKUP($AK$2,'Diretrizes - Resumo'!$A$4:$I$30,6,)</f>
        <v>#REF!</v>
      </c>
      <c r="AR11" s="23"/>
    </row>
    <row r="12" spans="1:44" ht="16.2" thickBot="1">
      <c r="A12" s="27" t="s">
        <v>273</v>
      </c>
      <c r="B12" s="20">
        <v>1379093.6640000001</v>
      </c>
      <c r="C12" s="20">
        <v>221931.152</v>
      </c>
      <c r="D12" s="20">
        <f t="shared" si="3"/>
        <v>1601024.8160000001</v>
      </c>
      <c r="E12" s="20">
        <v>82964.975999999995</v>
      </c>
      <c r="F12" s="20">
        <v>90843.423999999999</v>
      </c>
      <c r="G12" s="20">
        <f t="shared" si="4"/>
        <v>173808.4</v>
      </c>
      <c r="H12" s="20">
        <v>2651635</v>
      </c>
      <c r="I12" s="20">
        <v>158024.91</v>
      </c>
      <c r="J12" s="26">
        <f t="shared" si="2"/>
        <v>4584493.1260000002</v>
      </c>
      <c r="K12" s="60">
        <v>0</v>
      </c>
      <c r="L12" s="20">
        <v>84498.899430433084</v>
      </c>
      <c r="M12" s="20"/>
      <c r="N12" s="20"/>
      <c r="P12" s="20">
        <v>362434.7</v>
      </c>
      <c r="Q12" s="20">
        <v>43313.642250348523</v>
      </c>
      <c r="R12" s="61">
        <v>0</v>
      </c>
      <c r="S12" s="20"/>
      <c r="U12" s="20">
        <v>20244.566489575998</v>
      </c>
      <c r="W12" s="24">
        <v>5336</v>
      </c>
      <c r="X12" s="24">
        <v>5100</v>
      </c>
      <c r="Y12" s="25">
        <v>28.274509803921561</v>
      </c>
      <c r="Z12" s="24">
        <v>721</v>
      </c>
      <c r="AA12" s="25">
        <v>69.625520110957012</v>
      </c>
      <c r="AB12" s="24">
        <v>30625</v>
      </c>
      <c r="AD12" s="17">
        <v>0</v>
      </c>
      <c r="AF12" s="17">
        <v>2015911.7999999998</v>
      </c>
      <c r="AG12" s="17"/>
      <c r="AH12" s="120">
        <v>7206589</v>
      </c>
      <c r="AJ12" s="33" t="s">
        <v>49</v>
      </c>
      <c r="AK12" s="36" t="e">
        <f>VLOOKUP($AK$2,'Diretrizes - Resumo'!$A$4:$I$30,8,)</f>
        <v>#REF!</v>
      </c>
      <c r="AR12" s="23"/>
    </row>
    <row r="13" spans="1:44" ht="16.2" thickBot="1">
      <c r="A13" s="27" t="s">
        <v>272</v>
      </c>
      <c r="B13" s="20">
        <v>511040.36800000002</v>
      </c>
      <c r="C13" s="20">
        <v>104363.144</v>
      </c>
      <c r="D13" s="20">
        <f t="shared" si="3"/>
        <v>615403.51199999999</v>
      </c>
      <c r="E13" s="20">
        <v>41637.815999999999</v>
      </c>
      <c r="F13" s="20">
        <v>37561.279999999999</v>
      </c>
      <c r="G13" s="20">
        <f t="shared" si="4"/>
        <v>79199.09599999999</v>
      </c>
      <c r="H13" s="20">
        <v>479848.53</v>
      </c>
      <c r="I13" s="20">
        <v>52850.3</v>
      </c>
      <c r="J13" s="26">
        <f t="shared" si="2"/>
        <v>1227301.4380000001</v>
      </c>
      <c r="K13" s="60">
        <v>0</v>
      </c>
      <c r="L13" s="20">
        <v>22699.741551492109</v>
      </c>
      <c r="M13" s="20">
        <v>17240</v>
      </c>
      <c r="N13" s="20">
        <v>124511.19545994185</v>
      </c>
      <c r="P13" s="20">
        <v>97364.27</v>
      </c>
      <c r="Q13" s="20">
        <v>11374.589459941722</v>
      </c>
      <c r="R13" s="61">
        <v>0</v>
      </c>
      <c r="S13" s="20"/>
      <c r="U13" s="20">
        <v>4047.925050624001</v>
      </c>
      <c r="W13" s="24">
        <v>2161</v>
      </c>
      <c r="X13" s="24">
        <v>2133</v>
      </c>
      <c r="Y13" s="25">
        <v>35.067979371776829</v>
      </c>
      <c r="Z13" s="24">
        <v>301</v>
      </c>
      <c r="AA13" s="25">
        <v>63.455149501661126</v>
      </c>
      <c r="AB13" s="24">
        <v>5542</v>
      </c>
      <c r="AD13" s="17">
        <v>0</v>
      </c>
      <c r="AF13" s="17">
        <v>67318.429999999993</v>
      </c>
      <c r="AG13" s="17"/>
      <c r="AH13" s="120">
        <v>7153262</v>
      </c>
      <c r="AJ13" s="33" t="s">
        <v>271</v>
      </c>
      <c r="AK13" s="36" t="e">
        <f>VLOOKUP($AK$2,'Diretrizes - Resumo'!$A$4:$I$30,9,)</f>
        <v>#REF!</v>
      </c>
      <c r="AR13" s="23"/>
    </row>
    <row r="14" spans="1:44" ht="16.2" thickBot="1">
      <c r="A14" s="27" t="s">
        <v>269</v>
      </c>
      <c r="B14" s="20">
        <v>4786978.784</v>
      </c>
      <c r="C14" s="20">
        <v>672571.16</v>
      </c>
      <c r="D14" s="20">
        <f t="shared" si="3"/>
        <v>5459549.9440000001</v>
      </c>
      <c r="E14" s="20">
        <v>430923.35200000007</v>
      </c>
      <c r="F14" s="20">
        <v>80833.144</v>
      </c>
      <c r="G14" s="20">
        <f t="shared" si="4"/>
        <v>511756.49600000004</v>
      </c>
      <c r="H14" s="20">
        <v>4935114.83</v>
      </c>
      <c r="I14" s="20">
        <v>592965.98</v>
      </c>
      <c r="J14" s="26">
        <f t="shared" si="2"/>
        <v>11499387.25</v>
      </c>
      <c r="K14" s="60">
        <v>0</v>
      </c>
      <c r="L14" s="20">
        <v>208977.01377463364</v>
      </c>
      <c r="M14" s="20"/>
      <c r="N14" s="20"/>
      <c r="P14" s="20">
        <v>896349.2</v>
      </c>
      <c r="Q14" s="20">
        <v>111232.1710148775</v>
      </c>
      <c r="R14" s="61">
        <v>0</v>
      </c>
      <c r="S14" s="20"/>
      <c r="U14" s="20">
        <v>47746.521404244006</v>
      </c>
      <c r="W14" s="24">
        <v>17458</v>
      </c>
      <c r="X14" s="24">
        <v>16749</v>
      </c>
      <c r="Y14" s="25">
        <v>24.67610006567557</v>
      </c>
      <c r="Z14" s="24">
        <v>1892</v>
      </c>
      <c r="AA14" s="25">
        <v>39.746300211416482</v>
      </c>
      <c r="AB14" s="24">
        <v>56998</v>
      </c>
      <c r="AD14" s="17">
        <v>0</v>
      </c>
      <c r="AF14" s="17">
        <v>9291279.5399999991</v>
      </c>
      <c r="AG14" s="17"/>
      <c r="AH14" s="120">
        <v>21411923</v>
      </c>
      <c r="AJ14" s="33" t="s">
        <v>9</v>
      </c>
      <c r="AK14" s="35"/>
      <c r="AR14" s="23"/>
    </row>
    <row r="15" spans="1:44" ht="16.2" thickBot="1">
      <c r="A15" s="27" t="s">
        <v>267</v>
      </c>
      <c r="B15" s="20">
        <v>854276.04800000007</v>
      </c>
      <c r="C15" s="20">
        <v>228507.67200000002</v>
      </c>
      <c r="D15" s="20">
        <f t="shared" si="3"/>
        <v>1082783.7200000002</v>
      </c>
      <c r="E15" s="20">
        <v>121900.35200000001</v>
      </c>
      <c r="F15" s="20">
        <v>53173.90400000001</v>
      </c>
      <c r="G15" s="20">
        <f t="shared" si="4"/>
        <v>175074.25600000002</v>
      </c>
      <c r="H15" s="20">
        <v>1860776.74</v>
      </c>
      <c r="I15" s="20">
        <v>144739.51999999999</v>
      </c>
      <c r="J15" s="26">
        <f t="shared" si="2"/>
        <v>3263374.236</v>
      </c>
      <c r="K15" s="60">
        <v>0</v>
      </c>
      <c r="L15" s="20">
        <v>59706.587859465071</v>
      </c>
      <c r="M15" s="20"/>
      <c r="N15" s="20"/>
      <c r="P15" s="20">
        <v>256094.92</v>
      </c>
      <c r="Q15" s="20">
        <v>30235.562340461736</v>
      </c>
      <c r="R15" s="61">
        <v>0</v>
      </c>
      <c r="S15" s="20"/>
      <c r="U15" s="20">
        <v>14188.692829558004</v>
      </c>
      <c r="W15" s="24">
        <v>3649</v>
      </c>
      <c r="X15" s="24">
        <v>3554</v>
      </c>
      <c r="Y15" s="25">
        <v>36.381541924592007</v>
      </c>
      <c r="Z15" s="24">
        <v>686</v>
      </c>
      <c r="AA15" s="25">
        <v>52.915451895043731</v>
      </c>
      <c r="AB15" s="24">
        <v>21491</v>
      </c>
      <c r="AD15" s="17">
        <v>0</v>
      </c>
      <c r="AF15" s="17">
        <v>715780.57</v>
      </c>
      <c r="AG15" s="17"/>
      <c r="AH15" s="120">
        <v>2839188</v>
      </c>
      <c r="AJ15" s="33" t="s">
        <v>111</v>
      </c>
      <c r="AK15" s="32" t="e">
        <f>VLOOKUP($AK$2,'Diretrizes - Resumo'!$A$4:$U$30,21,)</f>
        <v>#REF!</v>
      </c>
      <c r="AR15" s="23"/>
    </row>
    <row r="16" spans="1:44" ht="16.2" thickBot="1">
      <c r="A16" s="27" t="s">
        <v>265</v>
      </c>
      <c r="B16" s="20">
        <v>1059141.1679999998</v>
      </c>
      <c r="C16" s="20">
        <v>128444.17600000001</v>
      </c>
      <c r="D16" s="20">
        <f t="shared" si="3"/>
        <v>1187585.3439999998</v>
      </c>
      <c r="E16" s="20">
        <v>108266.90399999998</v>
      </c>
      <c r="F16" s="20">
        <v>47635.456000000006</v>
      </c>
      <c r="G16" s="20">
        <f t="shared" si="4"/>
        <v>155902.35999999999</v>
      </c>
      <c r="H16" s="20">
        <v>2977710.34</v>
      </c>
      <c r="I16" s="20">
        <v>129635.94</v>
      </c>
      <c r="J16" s="26">
        <f t="shared" si="2"/>
        <v>4450833.9839999992</v>
      </c>
      <c r="K16" s="60">
        <v>0</v>
      </c>
      <c r="L16" s="20">
        <v>81621.154888239675</v>
      </c>
      <c r="M16" s="20"/>
      <c r="N16" s="20"/>
      <c r="P16" s="20">
        <v>350091.41</v>
      </c>
      <c r="Q16" s="20">
        <v>42028.667586903612</v>
      </c>
      <c r="R16" s="61">
        <v>0</v>
      </c>
      <c r="S16" s="20"/>
      <c r="U16" s="20">
        <v>18539.373852427998</v>
      </c>
      <c r="W16" s="24">
        <v>3626</v>
      </c>
      <c r="X16" s="24">
        <v>3563</v>
      </c>
      <c r="Y16" s="25">
        <v>23.294976143699131</v>
      </c>
      <c r="Z16" s="24">
        <v>643</v>
      </c>
      <c r="AA16" s="25">
        <v>55.520995334370141</v>
      </c>
      <c r="AB16" s="24">
        <v>34391</v>
      </c>
      <c r="AD16" s="17">
        <v>0</v>
      </c>
      <c r="AF16" s="17">
        <v>1836973.55</v>
      </c>
      <c r="AG16" s="17"/>
      <c r="AH16" s="120">
        <v>3567234</v>
      </c>
      <c r="AJ16" s="33" t="s">
        <v>10</v>
      </c>
      <c r="AK16" s="32" t="e">
        <f>VLOOKUP($AK$2,'Diretrizes - Resumo'!$A$4:$N$30,14,)</f>
        <v>#REF!</v>
      </c>
      <c r="AR16" s="23"/>
    </row>
    <row r="17" spans="1:44" ht="16.2" thickBot="1">
      <c r="A17" s="27" t="s">
        <v>263</v>
      </c>
      <c r="B17" s="20">
        <v>631256.57600000012</v>
      </c>
      <c r="C17" s="20">
        <v>288818.38400000002</v>
      </c>
      <c r="D17" s="20">
        <f t="shared" si="3"/>
        <v>920074.9600000002</v>
      </c>
      <c r="E17" s="20">
        <v>51412.072</v>
      </c>
      <c r="F17" s="20">
        <v>30925.567999999999</v>
      </c>
      <c r="G17" s="20">
        <f t="shared" si="4"/>
        <v>82337.64</v>
      </c>
      <c r="H17" s="20">
        <v>718127.7</v>
      </c>
      <c r="I17" s="20">
        <v>77424.31</v>
      </c>
      <c r="J17" s="26">
        <f t="shared" si="2"/>
        <v>1797964.6100000003</v>
      </c>
      <c r="K17" s="60">
        <v>0</v>
      </c>
      <c r="L17" s="20">
        <v>32368.105936475167</v>
      </c>
      <c r="M17" s="20"/>
      <c r="N17" s="20"/>
      <c r="P17" s="20">
        <v>138834.04999999999</v>
      </c>
      <c r="Q17" s="20">
        <v>16260.147768444294</v>
      </c>
      <c r="R17" s="61">
        <v>0</v>
      </c>
      <c r="S17" s="20"/>
      <c r="U17" s="20">
        <v>7872.5147328100011</v>
      </c>
      <c r="W17" s="24">
        <v>3191.6</v>
      </c>
      <c r="X17" s="24">
        <v>3024.6</v>
      </c>
      <c r="Y17" s="25">
        <v>42.306420683726778</v>
      </c>
      <c r="Z17" s="24">
        <v>435</v>
      </c>
      <c r="AA17" s="25">
        <v>68.735632183908052</v>
      </c>
      <c r="AB17" s="24">
        <v>8294</v>
      </c>
      <c r="AD17" s="17">
        <v>0</v>
      </c>
      <c r="AF17" s="17">
        <v>1313598.9600000002</v>
      </c>
      <c r="AG17" s="17"/>
      <c r="AH17" s="120">
        <v>8777124</v>
      </c>
      <c r="AJ17" s="9"/>
      <c r="AK17" s="29"/>
      <c r="AR17" s="23"/>
    </row>
    <row r="18" spans="1:44" ht="16.2" thickBot="1">
      <c r="A18" s="27" t="s">
        <v>262</v>
      </c>
      <c r="B18" s="20">
        <v>779545.16800000006</v>
      </c>
      <c r="C18" s="20">
        <v>158167.88800000001</v>
      </c>
      <c r="D18" s="20">
        <f t="shared" si="3"/>
        <v>937713.0560000001</v>
      </c>
      <c r="E18" s="20">
        <v>67108.960000000006</v>
      </c>
      <c r="F18" s="20">
        <v>26325.712</v>
      </c>
      <c r="G18" s="20">
        <f t="shared" si="4"/>
        <v>93434.672000000006</v>
      </c>
      <c r="H18" s="20">
        <v>832331.99</v>
      </c>
      <c r="I18" s="20">
        <v>102491.38</v>
      </c>
      <c r="J18" s="26">
        <f t="shared" si="2"/>
        <v>1965971.0980000002</v>
      </c>
      <c r="K18" s="60">
        <v>0</v>
      </c>
      <c r="L18" s="20">
        <v>36436.63269749692</v>
      </c>
      <c r="M18" s="20"/>
      <c r="N18" s="20"/>
      <c r="P18" s="20">
        <v>156284.88</v>
      </c>
      <c r="Q18" s="20">
        <v>18644.740937998373</v>
      </c>
      <c r="R18" s="61">
        <v>0</v>
      </c>
      <c r="S18" s="20">
        <v>15265.447867322171</v>
      </c>
      <c r="U18" s="20">
        <v>8597.2352596519995</v>
      </c>
      <c r="W18" s="24">
        <v>3134</v>
      </c>
      <c r="X18" s="24">
        <v>3068</v>
      </c>
      <c r="Y18" s="25">
        <v>30.019556714471975</v>
      </c>
      <c r="Z18" s="24">
        <v>273</v>
      </c>
      <c r="AA18" s="25">
        <v>35.164835164835168</v>
      </c>
      <c r="AB18" s="24">
        <v>9613</v>
      </c>
      <c r="AD18" s="17">
        <v>0</v>
      </c>
      <c r="AF18" s="17">
        <v>1288484.52</v>
      </c>
      <c r="AG18" s="17"/>
      <c r="AH18" s="120">
        <v>4059905</v>
      </c>
      <c r="AJ18" s="437" t="s">
        <v>274</v>
      </c>
      <c r="AK18" s="438"/>
      <c r="AR18" s="23"/>
    </row>
    <row r="19" spans="1:44" ht="16.2" thickBot="1">
      <c r="A19" s="27" t="s">
        <v>237</v>
      </c>
      <c r="B19" s="20">
        <v>1465865.0480000004</v>
      </c>
      <c r="C19" s="20">
        <v>195462.53600000002</v>
      </c>
      <c r="D19" s="20">
        <f t="shared" si="3"/>
        <v>1661327.5840000005</v>
      </c>
      <c r="E19" s="20">
        <v>118013.40800000001</v>
      </c>
      <c r="F19" s="20">
        <v>26716.376000000004</v>
      </c>
      <c r="G19" s="20">
        <f t="shared" si="4"/>
        <v>144729.78400000001</v>
      </c>
      <c r="H19" s="20">
        <v>1582322.6</v>
      </c>
      <c r="I19" s="20">
        <v>186360.9</v>
      </c>
      <c r="J19" s="26">
        <f t="shared" si="2"/>
        <v>3574740.8680000007</v>
      </c>
      <c r="K19" s="60">
        <v>0</v>
      </c>
      <c r="L19" s="20">
        <v>65037.65631003493</v>
      </c>
      <c r="M19" s="20"/>
      <c r="N19" s="20"/>
      <c r="P19" s="20">
        <v>278961.07</v>
      </c>
      <c r="Q19" s="20">
        <v>33917.863196986669</v>
      </c>
      <c r="R19" s="61">
        <v>0</v>
      </c>
      <c r="S19" s="20"/>
      <c r="U19" s="20">
        <v>13702.667599894003</v>
      </c>
      <c r="W19" s="24">
        <v>5504.8</v>
      </c>
      <c r="X19" s="24">
        <v>5056.8</v>
      </c>
      <c r="Y19" s="25">
        <v>22.737699731055216</v>
      </c>
      <c r="Z19" s="24">
        <v>537</v>
      </c>
      <c r="AA19" s="25">
        <v>38.175046554934823</v>
      </c>
      <c r="AB19" s="24">
        <v>18275</v>
      </c>
      <c r="AD19" s="17">
        <v>0</v>
      </c>
      <c r="AF19" s="17">
        <v>781387.39999999991</v>
      </c>
      <c r="AG19" s="17"/>
      <c r="AH19" s="120">
        <v>9674793</v>
      </c>
      <c r="AJ19" s="84" t="s">
        <v>330</v>
      </c>
      <c r="AK19" s="30" t="e">
        <f>VLOOKUP($AK$2,'Diretrizes - Resumo'!$A$4:$AB$30,23,)</f>
        <v>#REF!</v>
      </c>
      <c r="AR19" s="23"/>
    </row>
    <row r="20" spans="1:44" ht="16.2" thickBot="1">
      <c r="A20" s="27" t="s">
        <v>261</v>
      </c>
      <c r="B20" s="20">
        <v>441365.21600000001</v>
      </c>
      <c r="C20" s="20">
        <v>55796.368000000009</v>
      </c>
      <c r="D20" s="20">
        <f t="shared" si="3"/>
        <v>497161.58400000003</v>
      </c>
      <c r="E20" s="20">
        <v>58238.896000000001</v>
      </c>
      <c r="F20" s="20">
        <v>10494.816000000001</v>
      </c>
      <c r="G20" s="20">
        <f t="shared" si="4"/>
        <v>68733.712</v>
      </c>
      <c r="H20" s="20">
        <v>415430.03</v>
      </c>
      <c r="I20" s="20">
        <v>44159.64</v>
      </c>
      <c r="J20" s="26">
        <f t="shared" si="2"/>
        <v>1025484.966</v>
      </c>
      <c r="K20" s="60">
        <v>0</v>
      </c>
      <c r="L20" s="20">
        <v>18707.909105583629</v>
      </c>
      <c r="M20" s="20">
        <v>16840</v>
      </c>
      <c r="N20" s="20">
        <v>323635.37833657151</v>
      </c>
      <c r="P20" s="20">
        <v>80242.41</v>
      </c>
      <c r="Q20" s="20">
        <v>9280.7303365715197</v>
      </c>
      <c r="R20" s="61">
        <v>0</v>
      </c>
      <c r="S20" s="20"/>
      <c r="U20" s="20">
        <v>3293.3190637360003</v>
      </c>
      <c r="W20" s="24">
        <v>1641</v>
      </c>
      <c r="X20" s="24">
        <v>1599</v>
      </c>
      <c r="Y20" s="25">
        <v>25.203252032520325</v>
      </c>
      <c r="Z20" s="24">
        <v>275</v>
      </c>
      <c r="AA20" s="25">
        <v>43.63636363636364</v>
      </c>
      <c r="AB20" s="24">
        <v>4798</v>
      </c>
      <c r="AD20" s="17">
        <v>0</v>
      </c>
      <c r="AF20" s="17">
        <v>102180.46</v>
      </c>
      <c r="AG20" s="17"/>
      <c r="AH20" s="120">
        <v>3289290</v>
      </c>
      <c r="AJ20" s="84" t="s">
        <v>331</v>
      </c>
      <c r="AK20" s="30" t="e">
        <f>VLOOKUP($AK$2,'Diretrizes - Resumo'!$A$4:$AB$30,24,)</f>
        <v>#REF!</v>
      </c>
      <c r="AR20" s="23"/>
    </row>
    <row r="21" spans="1:44" ht="16.2" thickBot="1">
      <c r="A21" s="27" t="s">
        <v>260</v>
      </c>
      <c r="B21" s="20">
        <v>3584729.5519999997</v>
      </c>
      <c r="C21" s="20">
        <v>483287.37599999999</v>
      </c>
      <c r="D21" s="20">
        <f t="shared" si="3"/>
        <v>4068016.9279999998</v>
      </c>
      <c r="E21" s="20">
        <v>492594.59999999992</v>
      </c>
      <c r="F21" s="20">
        <v>130089.73600000002</v>
      </c>
      <c r="G21" s="20">
        <f t="shared" si="4"/>
        <v>622684.33599999989</v>
      </c>
      <c r="H21" s="20">
        <v>6433970.46</v>
      </c>
      <c r="I21" s="20">
        <v>444986.87</v>
      </c>
      <c r="J21" s="26">
        <f t="shared" si="2"/>
        <v>11569658.594000001</v>
      </c>
      <c r="K21" s="60">
        <v>0</v>
      </c>
      <c r="L21" s="20">
        <v>211768.97709494023</v>
      </c>
      <c r="M21" s="20"/>
      <c r="N21" s="20"/>
      <c r="P21" s="20">
        <v>908324.56</v>
      </c>
      <c r="Q21" s="20">
        <v>109891.24211973045</v>
      </c>
      <c r="R21" s="61">
        <v>0</v>
      </c>
      <c r="S21" s="20"/>
      <c r="U21" s="20">
        <v>55576.003279602017</v>
      </c>
      <c r="W21" s="24">
        <v>14181</v>
      </c>
      <c r="X21" s="24">
        <v>13769</v>
      </c>
      <c r="Y21" s="25">
        <v>30.626770281066158</v>
      </c>
      <c r="Z21" s="24">
        <v>2791</v>
      </c>
      <c r="AA21" s="25">
        <v>53.31422429236833</v>
      </c>
      <c r="AB21" s="24">
        <v>74309</v>
      </c>
      <c r="AD21" s="17">
        <v>0</v>
      </c>
      <c r="AF21" s="17">
        <v>13878149.049999999</v>
      </c>
      <c r="AG21" s="17"/>
      <c r="AH21" s="120">
        <v>11597484</v>
      </c>
      <c r="AJ21" s="83" t="s">
        <v>270</v>
      </c>
      <c r="AK21" s="34" t="e">
        <f>VLOOKUP($AK$2,'Diretrizes - Resumo'!$A$4:$AB$30,25,)</f>
        <v>#REF!</v>
      </c>
      <c r="AR21" s="23"/>
    </row>
    <row r="22" spans="1:44" ht="16.2" thickBot="1">
      <c r="A22" s="27" t="s">
        <v>259</v>
      </c>
      <c r="B22" s="20">
        <v>4637544.568</v>
      </c>
      <c r="C22" s="20">
        <v>1377724.6320000002</v>
      </c>
      <c r="D22" s="20">
        <f t="shared" si="3"/>
        <v>6015269.2000000002</v>
      </c>
      <c r="E22" s="20">
        <v>613813.02400000009</v>
      </c>
      <c r="F22" s="20">
        <v>307902.50400000002</v>
      </c>
      <c r="G22" s="20">
        <f t="shared" si="4"/>
        <v>921715.52800000017</v>
      </c>
      <c r="H22" s="20">
        <v>5158328.38</v>
      </c>
      <c r="I22" s="20">
        <v>665242.22</v>
      </c>
      <c r="J22" s="26">
        <f t="shared" si="2"/>
        <v>12760555.328</v>
      </c>
      <c r="K22" s="60">
        <v>0</v>
      </c>
      <c r="L22" s="20">
        <v>225894.11830159381</v>
      </c>
      <c r="M22" s="20"/>
      <c r="N22" s="20"/>
      <c r="P22" s="20">
        <v>968910.45</v>
      </c>
      <c r="Q22" s="20">
        <v>127374.78823620477</v>
      </c>
      <c r="R22" s="61">
        <v>0</v>
      </c>
      <c r="S22" s="20">
        <v>157897.52974945167</v>
      </c>
      <c r="U22" s="20">
        <v>38847.512405962007</v>
      </c>
      <c r="W22" s="24">
        <v>21599.333333333332</v>
      </c>
      <c r="X22" s="24">
        <v>18095.333333333332</v>
      </c>
      <c r="Y22" s="25">
        <v>27.810116788858991</v>
      </c>
      <c r="Z22" s="24">
        <v>2932</v>
      </c>
      <c r="AA22" s="25">
        <v>44.611186903137792</v>
      </c>
      <c r="AB22" s="24">
        <v>59576</v>
      </c>
      <c r="AD22" s="17">
        <v>0</v>
      </c>
      <c r="AF22" s="17">
        <v>5939954.9100000001</v>
      </c>
      <c r="AG22" s="17"/>
      <c r="AH22" s="120">
        <v>17463349</v>
      </c>
      <c r="AJ22" s="31" t="s">
        <v>268</v>
      </c>
      <c r="AK22" s="30" t="e">
        <f>VLOOKUP($AK$2,'Diretrizes - Resumo'!$A$4:$AB$30,26,)</f>
        <v>#REF!</v>
      </c>
      <c r="AR22" s="23"/>
    </row>
    <row r="23" spans="1:44" ht="16.2" thickBot="1">
      <c r="A23" s="27" t="s">
        <v>258</v>
      </c>
      <c r="B23" s="20">
        <v>713019</v>
      </c>
      <c r="C23" s="20">
        <v>157137.48799999998</v>
      </c>
      <c r="D23" s="20">
        <f t="shared" si="3"/>
        <v>870156.48800000001</v>
      </c>
      <c r="E23" s="20">
        <v>52927.455999999998</v>
      </c>
      <c r="F23" s="20">
        <v>39673.744000000006</v>
      </c>
      <c r="G23" s="20">
        <f t="shared" si="4"/>
        <v>92601.200000000012</v>
      </c>
      <c r="H23" s="20">
        <v>877269.09</v>
      </c>
      <c r="I23" s="20">
        <v>81554.3</v>
      </c>
      <c r="J23" s="26">
        <f t="shared" si="2"/>
        <v>1921581.0780000002</v>
      </c>
      <c r="K23" s="60">
        <v>0</v>
      </c>
      <c r="L23" s="20">
        <v>35226.751940680093</v>
      </c>
      <c r="M23" s="20"/>
      <c r="N23" s="20"/>
      <c r="P23" s="20">
        <v>151095.43</v>
      </c>
      <c r="Q23" s="20">
        <v>18135.485503182223</v>
      </c>
      <c r="R23" s="61">
        <v>0</v>
      </c>
      <c r="S23" s="20"/>
      <c r="U23" s="20">
        <v>7447.4280785060009</v>
      </c>
      <c r="W23" s="24">
        <v>2816</v>
      </c>
      <c r="X23" s="24">
        <v>2736</v>
      </c>
      <c r="Y23" s="25">
        <v>30.701754385964904</v>
      </c>
      <c r="Z23" s="24">
        <v>316</v>
      </c>
      <c r="AA23" s="25">
        <v>55.696202531645575</v>
      </c>
      <c r="AB23" s="24">
        <v>10132</v>
      </c>
      <c r="AD23" s="17">
        <v>0</v>
      </c>
      <c r="AF23" s="17">
        <v>1125992.78</v>
      </c>
      <c r="AG23" s="17"/>
      <c r="AH23" s="120">
        <v>3560903</v>
      </c>
      <c r="AJ23" s="31" t="s">
        <v>266</v>
      </c>
      <c r="AK23" s="34" t="e">
        <f>VLOOKUP($AK$2,'Diretrizes - Resumo'!$A$4:$AB$30,27,)</f>
        <v>#REF!</v>
      </c>
      <c r="AR23" s="23"/>
    </row>
    <row r="24" spans="1:44" ht="16.2" thickBot="1">
      <c r="A24" s="27" t="s">
        <v>257</v>
      </c>
      <c r="B24" s="20">
        <v>376617.67199999996</v>
      </c>
      <c r="C24" s="20">
        <v>50792.112000000001</v>
      </c>
      <c r="D24" s="20">
        <f t="shared" si="3"/>
        <v>427409.78399999999</v>
      </c>
      <c r="E24" s="20">
        <v>41183.200000000004</v>
      </c>
      <c r="F24" s="20">
        <v>14584.256000000001</v>
      </c>
      <c r="G24" s="20">
        <f t="shared" si="4"/>
        <v>55767.456000000006</v>
      </c>
      <c r="H24" s="20">
        <v>953030.09</v>
      </c>
      <c r="I24" s="20">
        <v>64629.33</v>
      </c>
      <c r="J24" s="26">
        <f t="shared" si="2"/>
        <v>1500836.66</v>
      </c>
      <c r="K24" s="60">
        <v>0</v>
      </c>
      <c r="L24" s="20">
        <v>27471.485518262714</v>
      </c>
      <c r="M24" s="20"/>
      <c r="N24" s="20"/>
      <c r="P24" s="20">
        <v>117831.35</v>
      </c>
      <c r="Q24" s="20">
        <v>13899.250191988889</v>
      </c>
      <c r="R24" s="61">
        <v>0</v>
      </c>
      <c r="S24" s="20"/>
      <c r="U24" s="20">
        <v>5793.1311791340013</v>
      </c>
      <c r="W24" s="24">
        <v>1461.8</v>
      </c>
      <c r="X24" s="24">
        <v>1442.8</v>
      </c>
      <c r="Y24" s="25">
        <v>28.611034100360413</v>
      </c>
      <c r="Z24" s="24">
        <v>241</v>
      </c>
      <c r="AA24" s="25">
        <v>54.771784232365142</v>
      </c>
      <c r="AB24" s="24">
        <v>11007</v>
      </c>
      <c r="AD24" s="17">
        <v>0</v>
      </c>
      <c r="AF24" s="17">
        <v>1207427.8900000001</v>
      </c>
      <c r="AG24" s="17"/>
      <c r="AH24" s="120">
        <v>1815278</v>
      </c>
      <c r="AJ24" s="83" t="s">
        <v>264</v>
      </c>
      <c r="AK24" s="30" t="e">
        <f>VLOOKUP($AK$2,'Diretrizes - Resumo'!$A$4:$AB$30,28,)</f>
        <v>#REF!</v>
      </c>
      <c r="AR24" s="23"/>
    </row>
    <row r="25" spans="1:44" ht="16.2" thickBot="1">
      <c r="A25" s="27" t="s">
        <v>256</v>
      </c>
      <c r="B25" s="20">
        <v>58052.096000000012</v>
      </c>
      <c r="C25" s="20">
        <v>10597.968000000001</v>
      </c>
      <c r="D25" s="20">
        <f t="shared" si="3"/>
        <v>68650.064000000013</v>
      </c>
      <c r="E25" s="20">
        <v>8061.8640000000014</v>
      </c>
      <c r="F25" s="20">
        <v>4434.5600000000004</v>
      </c>
      <c r="G25" s="20">
        <f t="shared" si="4"/>
        <v>12496.424000000003</v>
      </c>
      <c r="H25" s="20">
        <v>109875.1</v>
      </c>
      <c r="I25" s="20">
        <v>7640.86</v>
      </c>
      <c r="J25" s="26">
        <f t="shared" si="2"/>
        <v>198662.44800000003</v>
      </c>
      <c r="K25" s="60">
        <v>0</v>
      </c>
      <c r="L25" s="20">
        <v>3667.0231318440547</v>
      </c>
      <c r="M25" s="20">
        <v>17640</v>
      </c>
      <c r="N25" s="20">
        <v>1027072.3434838187</v>
      </c>
      <c r="P25" s="20">
        <v>15728.68</v>
      </c>
      <c r="Q25" s="20">
        <v>1935.0334838186973</v>
      </c>
      <c r="R25" s="61">
        <v>0</v>
      </c>
      <c r="S25" s="20"/>
      <c r="U25" s="20">
        <v>735.73557525000024</v>
      </c>
      <c r="W25" s="24">
        <v>250</v>
      </c>
      <c r="X25" s="24">
        <v>241</v>
      </c>
      <c r="Y25" s="25">
        <v>35.269709543568467</v>
      </c>
      <c r="Z25" s="24">
        <v>64</v>
      </c>
      <c r="AA25" s="25">
        <v>65.625</v>
      </c>
      <c r="AB25" s="24">
        <v>1269</v>
      </c>
      <c r="AD25" s="17">
        <v>0</v>
      </c>
      <c r="AF25" s="17">
        <v>245329.86999999997</v>
      </c>
      <c r="AG25" s="17"/>
      <c r="AH25" s="120">
        <v>652713</v>
      </c>
      <c r="AR25" s="23"/>
    </row>
    <row r="26" spans="1:44" ht="16.2" thickBot="1">
      <c r="A26" s="27" t="s">
        <v>255</v>
      </c>
      <c r="B26" s="20">
        <v>4734720.0959999999</v>
      </c>
      <c r="C26" s="20">
        <v>674682.09600000002</v>
      </c>
      <c r="D26" s="20">
        <f t="shared" si="3"/>
        <v>5409402.1919999998</v>
      </c>
      <c r="E26" s="20">
        <v>608680.91200000001</v>
      </c>
      <c r="F26" s="20">
        <v>201265.52800000002</v>
      </c>
      <c r="G26" s="20">
        <f t="shared" si="4"/>
        <v>809946.44000000006</v>
      </c>
      <c r="H26" s="20">
        <v>8176300.29</v>
      </c>
      <c r="I26" s="20">
        <v>575825.96</v>
      </c>
      <c r="J26" s="26">
        <f t="shared" si="2"/>
        <v>14971474.881999999</v>
      </c>
      <c r="K26" s="60">
        <v>0</v>
      </c>
      <c r="L26" s="20">
        <v>274444.30773230823</v>
      </c>
      <c r="M26" s="20"/>
      <c r="N26" s="20"/>
      <c r="P26" s="20">
        <v>1177153.08</v>
      </c>
      <c r="Q26" s="20">
        <v>140403.8422811334</v>
      </c>
      <c r="R26" s="61">
        <v>0</v>
      </c>
      <c r="S26" s="20"/>
      <c r="U26" s="20">
        <v>66194.068942066035</v>
      </c>
      <c r="W26" s="24">
        <v>18041</v>
      </c>
      <c r="X26" s="24">
        <v>16889</v>
      </c>
      <c r="Y26" s="25">
        <v>24.400497365148908</v>
      </c>
      <c r="Z26" s="24">
        <v>2927</v>
      </c>
      <c r="AA26" s="25">
        <v>44.994875298940897</v>
      </c>
      <c r="AB26" s="24">
        <v>94432</v>
      </c>
      <c r="AD26" s="17">
        <v>0</v>
      </c>
      <c r="AF26" s="17">
        <v>18607318.912999999</v>
      </c>
      <c r="AG26" s="17"/>
      <c r="AH26" s="120">
        <v>11466630</v>
      </c>
      <c r="AJ26" s="437" t="s">
        <v>334</v>
      </c>
      <c r="AK26" s="438"/>
      <c r="AR26" s="23"/>
    </row>
    <row r="27" spans="1:44" ht="16.2" thickBot="1">
      <c r="A27" s="27" t="s">
        <v>254</v>
      </c>
      <c r="B27" s="20">
        <v>3476552.3760000002</v>
      </c>
      <c r="C27" s="20">
        <v>455971.64800000004</v>
      </c>
      <c r="D27" s="20">
        <f t="shared" si="3"/>
        <v>3932524.0240000002</v>
      </c>
      <c r="E27" s="20">
        <v>386045.13599999994</v>
      </c>
      <c r="F27" s="20">
        <v>92983.784</v>
      </c>
      <c r="G27" s="20">
        <f t="shared" si="4"/>
        <v>479028.91999999993</v>
      </c>
      <c r="H27" s="20">
        <v>5290282.4000000004</v>
      </c>
      <c r="I27" s="20">
        <v>291055.06</v>
      </c>
      <c r="J27" s="26">
        <f t="shared" si="2"/>
        <v>9992890.4039999992</v>
      </c>
      <c r="K27" s="60">
        <v>0</v>
      </c>
      <c r="L27" s="20">
        <v>182436.80267111809</v>
      </c>
      <c r="M27" s="20"/>
      <c r="N27" s="20"/>
      <c r="P27" s="20">
        <v>782512.29</v>
      </c>
      <c r="Q27" s="20">
        <v>93809.697409305722</v>
      </c>
      <c r="R27" s="61">
        <v>0</v>
      </c>
      <c r="S27" s="20"/>
      <c r="U27" s="20">
        <v>41160.619951984001</v>
      </c>
      <c r="W27" s="24">
        <v>11914</v>
      </c>
      <c r="X27" s="24">
        <v>11626</v>
      </c>
      <c r="Y27" s="25">
        <v>21.546533631515558</v>
      </c>
      <c r="Z27" s="24">
        <v>1905</v>
      </c>
      <c r="AA27" s="25">
        <v>46.351706036745412</v>
      </c>
      <c r="AB27" s="24">
        <v>61100</v>
      </c>
      <c r="AD27" s="17">
        <v>0</v>
      </c>
      <c r="AF27" s="17">
        <v>8692538.4800000004</v>
      </c>
      <c r="AG27" s="17"/>
      <c r="AH27" s="120">
        <v>7338473</v>
      </c>
      <c r="AJ27" s="38" t="s">
        <v>335</v>
      </c>
      <c r="AK27" s="30" t="e">
        <f>VLOOKUP($AK$2,A4:AH30,34,)</f>
        <v>#REF!</v>
      </c>
      <c r="AR27" s="23"/>
    </row>
    <row r="28" spans="1:44" s="28" customFormat="1" ht="16.2" thickBot="1">
      <c r="A28" s="27" t="s">
        <v>253</v>
      </c>
      <c r="B28" s="20">
        <v>435012.92799999996</v>
      </c>
      <c r="C28" s="20">
        <v>67014.960000000006</v>
      </c>
      <c r="D28" s="20">
        <f t="shared" si="3"/>
        <v>502027.88799999998</v>
      </c>
      <c r="E28" s="20">
        <v>38758.576000000001</v>
      </c>
      <c r="F28" s="20">
        <v>12640.256000000001</v>
      </c>
      <c r="G28" s="20">
        <f t="shared" si="4"/>
        <v>51398.832000000002</v>
      </c>
      <c r="H28" s="20">
        <v>585134.67000000004</v>
      </c>
      <c r="I28" s="20">
        <v>49948.9</v>
      </c>
      <c r="J28" s="26">
        <f t="shared" si="2"/>
        <v>1188510.29</v>
      </c>
      <c r="K28" s="60">
        <v>0</v>
      </c>
      <c r="L28" s="20">
        <v>21682.328047667306</v>
      </c>
      <c r="M28" s="20">
        <v>14440</v>
      </c>
      <c r="N28" s="20">
        <v>172875.39347385807</v>
      </c>
      <c r="O28" s="18"/>
      <c r="P28" s="20">
        <v>93000.36</v>
      </c>
      <c r="Q28" s="20">
        <v>11151.627473858112</v>
      </c>
      <c r="R28" s="61">
        <v>0</v>
      </c>
      <c r="S28" s="20">
        <v>8095.1841845333583</v>
      </c>
      <c r="T28" s="17"/>
      <c r="U28" s="20">
        <v>4426.7815768279997</v>
      </c>
      <c r="V28" s="17"/>
      <c r="W28" s="24">
        <v>1633</v>
      </c>
      <c r="X28" s="24">
        <v>1599</v>
      </c>
      <c r="Y28" s="25">
        <v>28.642901813633529</v>
      </c>
      <c r="Z28" s="24">
        <v>172</v>
      </c>
      <c r="AA28" s="25">
        <v>40.697674418604649</v>
      </c>
      <c r="AB28" s="24">
        <v>6758</v>
      </c>
      <c r="AC28" s="1"/>
      <c r="AD28" s="17">
        <v>0</v>
      </c>
      <c r="AE28" s="1"/>
      <c r="AF28" s="17">
        <v>778556.55</v>
      </c>
      <c r="AG28" s="17"/>
      <c r="AH28" s="120">
        <v>2338474</v>
      </c>
      <c r="AM28" s="3"/>
      <c r="AR28" s="23"/>
    </row>
    <row r="29" spans="1:44" ht="16.2" thickBot="1">
      <c r="A29" s="27" t="s">
        <v>252</v>
      </c>
      <c r="B29" s="20">
        <v>17642934.056000002</v>
      </c>
      <c r="C29" s="20">
        <v>3147567.4000000004</v>
      </c>
      <c r="D29" s="20">
        <f t="shared" si="3"/>
        <v>20790501.456</v>
      </c>
      <c r="E29" s="20">
        <v>1729808.0079999999</v>
      </c>
      <c r="F29" s="20">
        <v>422009.97600000002</v>
      </c>
      <c r="G29" s="20">
        <f t="shared" si="4"/>
        <v>2151817.9840000002</v>
      </c>
      <c r="H29" s="20">
        <v>30198334.600000001</v>
      </c>
      <c r="I29" s="20">
        <v>1700500.93</v>
      </c>
      <c r="J29" s="26">
        <f t="shared" si="2"/>
        <v>54841154.969999999</v>
      </c>
      <c r="K29" s="60">
        <v>0</v>
      </c>
      <c r="L29" s="20">
        <v>997466.6695633902</v>
      </c>
      <c r="M29" s="20"/>
      <c r="N29" s="20"/>
      <c r="P29" s="20">
        <v>4278357.87</v>
      </c>
      <c r="Q29" s="20">
        <v>535085.82804265618</v>
      </c>
      <c r="R29" s="61">
        <v>0</v>
      </c>
      <c r="S29" s="20"/>
      <c r="U29" s="20">
        <v>194251.69917792606</v>
      </c>
      <c r="W29" s="24">
        <v>67388</v>
      </c>
      <c r="X29" s="24">
        <v>63009</v>
      </c>
      <c r="Y29" s="25">
        <v>25.999460394546816</v>
      </c>
      <c r="Z29" s="24">
        <v>8228</v>
      </c>
      <c r="AA29" s="25">
        <v>44.385026737967912</v>
      </c>
      <c r="AB29" s="24">
        <v>348775</v>
      </c>
      <c r="AD29" s="17">
        <v>0</v>
      </c>
      <c r="AF29" s="17">
        <v>38768808.050000004</v>
      </c>
      <c r="AG29" s="17"/>
      <c r="AH29" s="120">
        <v>46649132</v>
      </c>
      <c r="AR29" s="23"/>
    </row>
    <row r="30" spans="1:44" ht="16.2" thickBot="1">
      <c r="A30" s="27" t="s">
        <v>251</v>
      </c>
      <c r="B30" s="20">
        <v>233109.96000000008</v>
      </c>
      <c r="C30" s="20">
        <v>33368.248</v>
      </c>
      <c r="D30" s="20">
        <f t="shared" si="3"/>
        <v>266478.2080000001</v>
      </c>
      <c r="E30" s="20">
        <v>29739.488000000001</v>
      </c>
      <c r="F30" s="20">
        <v>15518.023999999999</v>
      </c>
      <c r="G30" s="20">
        <f t="shared" si="4"/>
        <v>45257.512000000002</v>
      </c>
      <c r="H30" s="20">
        <v>478376.6</v>
      </c>
      <c r="I30" s="20">
        <v>44505.71</v>
      </c>
      <c r="J30" s="26">
        <f t="shared" si="2"/>
        <v>834618.03000000014</v>
      </c>
      <c r="K30" s="60">
        <v>0</v>
      </c>
      <c r="L30" s="20">
        <v>15389.346166549039</v>
      </c>
      <c r="M30" s="20">
        <v>12440</v>
      </c>
      <c r="N30" s="20">
        <v>435878.42532100301</v>
      </c>
      <c r="P30" s="20">
        <v>66008.350000000006</v>
      </c>
      <c r="Q30" s="20">
        <v>8007.9933210030576</v>
      </c>
      <c r="R30" s="61">
        <v>0</v>
      </c>
      <c r="S30" s="20">
        <v>5193.9456658119079</v>
      </c>
      <c r="U30" s="20">
        <v>3341.2706063620008</v>
      </c>
      <c r="W30" s="24">
        <v>873</v>
      </c>
      <c r="X30" s="24">
        <v>854</v>
      </c>
      <c r="Y30" s="25">
        <v>27.868852459016395</v>
      </c>
      <c r="Z30" s="24">
        <v>213</v>
      </c>
      <c r="AA30" s="25">
        <v>63.380281690140841</v>
      </c>
      <c r="AB30" s="24">
        <v>5525</v>
      </c>
      <c r="AD30" s="17">
        <v>0</v>
      </c>
      <c r="AF30" s="17">
        <v>863875.25</v>
      </c>
      <c r="AG30" s="17"/>
      <c r="AH30" s="120">
        <v>1607363</v>
      </c>
      <c r="AR30" s="23"/>
    </row>
    <row r="31" spans="1:44">
      <c r="P31" s="22"/>
      <c r="Q31" s="22"/>
    </row>
    <row r="32" spans="1:44">
      <c r="A32" s="21" t="s">
        <v>332</v>
      </c>
      <c r="B32" s="24">
        <v>2</v>
      </c>
      <c r="C32" s="24">
        <f>B32+1</f>
        <v>3</v>
      </c>
      <c r="D32" s="24">
        <f t="shared" ref="D32:AH32" si="5">C32+1</f>
        <v>4</v>
      </c>
      <c r="E32" s="24">
        <f t="shared" si="5"/>
        <v>5</v>
      </c>
      <c r="F32" s="24">
        <f t="shared" si="5"/>
        <v>6</v>
      </c>
      <c r="G32" s="24">
        <f t="shared" si="5"/>
        <v>7</v>
      </c>
      <c r="H32" s="24">
        <f t="shared" si="5"/>
        <v>8</v>
      </c>
      <c r="I32" s="24">
        <f t="shared" si="5"/>
        <v>9</v>
      </c>
      <c r="J32" s="24">
        <f t="shared" si="5"/>
        <v>10</v>
      </c>
      <c r="K32" s="24">
        <f t="shared" si="5"/>
        <v>11</v>
      </c>
      <c r="L32" s="24">
        <f t="shared" si="5"/>
        <v>12</v>
      </c>
      <c r="M32" s="24">
        <f t="shared" si="5"/>
        <v>13</v>
      </c>
      <c r="N32" s="24">
        <f t="shared" si="5"/>
        <v>14</v>
      </c>
      <c r="O32" s="24">
        <f t="shared" si="5"/>
        <v>15</v>
      </c>
      <c r="P32" s="24">
        <f t="shared" si="5"/>
        <v>16</v>
      </c>
      <c r="Q32" s="24">
        <f t="shared" si="5"/>
        <v>17</v>
      </c>
      <c r="R32" s="24">
        <f t="shared" si="5"/>
        <v>18</v>
      </c>
      <c r="S32" s="24">
        <f t="shared" si="5"/>
        <v>19</v>
      </c>
      <c r="T32" s="24">
        <f t="shared" si="5"/>
        <v>20</v>
      </c>
      <c r="U32" s="24">
        <f t="shared" si="5"/>
        <v>21</v>
      </c>
      <c r="V32" s="24">
        <f t="shared" si="5"/>
        <v>22</v>
      </c>
      <c r="W32" s="24">
        <f t="shared" si="5"/>
        <v>23</v>
      </c>
      <c r="X32" s="24">
        <f t="shared" si="5"/>
        <v>24</v>
      </c>
      <c r="Y32" s="24">
        <f t="shared" si="5"/>
        <v>25</v>
      </c>
      <c r="Z32" s="24">
        <f t="shared" si="5"/>
        <v>26</v>
      </c>
      <c r="AA32" s="24">
        <f t="shared" si="5"/>
        <v>27</v>
      </c>
      <c r="AB32" s="24">
        <f t="shared" si="5"/>
        <v>28</v>
      </c>
      <c r="AC32" s="24">
        <f t="shared" si="5"/>
        <v>29</v>
      </c>
      <c r="AD32" s="24">
        <f t="shared" si="5"/>
        <v>30</v>
      </c>
      <c r="AE32" s="24">
        <f t="shared" si="5"/>
        <v>31</v>
      </c>
      <c r="AF32" s="24">
        <f t="shared" si="5"/>
        <v>32</v>
      </c>
      <c r="AG32" s="24">
        <f t="shared" si="5"/>
        <v>33</v>
      </c>
      <c r="AH32" s="24">
        <f t="shared" si="5"/>
        <v>34</v>
      </c>
    </row>
    <row r="33" spans="16:17" hidden="1">
      <c r="P33" s="85"/>
      <c r="Q33" s="85"/>
    </row>
    <row r="34" spans="16:17" hidden="1">
      <c r="P34" s="85"/>
      <c r="Q34" s="85"/>
    </row>
    <row r="35" spans="16:17" hidden="1">
      <c r="P35" s="85"/>
      <c r="Q35" s="85"/>
    </row>
    <row r="36" spans="16:17" hidden="1">
      <c r="P36" s="85"/>
      <c r="Q36" s="85"/>
    </row>
  </sheetData>
  <mergeCells count="20">
    <mergeCell ref="AM2:AN2"/>
    <mergeCell ref="AJ18:AK18"/>
    <mergeCell ref="A1:A3"/>
    <mergeCell ref="B1:J1"/>
    <mergeCell ref="E2:G2"/>
    <mergeCell ref="B2:D2"/>
    <mergeCell ref="I2:I3"/>
    <mergeCell ref="AH2:AH3"/>
    <mergeCell ref="AJ26:AK26"/>
    <mergeCell ref="H2:H3"/>
    <mergeCell ref="J2:J3"/>
    <mergeCell ref="L1:N2"/>
    <mergeCell ref="P1:Q2"/>
    <mergeCell ref="W1:AB1"/>
    <mergeCell ref="W2:Y2"/>
    <mergeCell ref="Z2:AA2"/>
    <mergeCell ref="S1:S2"/>
    <mergeCell ref="U1:U2"/>
    <mergeCell ref="AD2:AD3"/>
    <mergeCell ref="AF2:AF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IO26"/>
  <sheetViews>
    <sheetView showGridLines="0" zoomScaleNormal="100" workbookViewId="0">
      <pane ySplit="2" topLeftCell="A6" activePane="bottomLeft" state="frozen"/>
      <selection activeCell="A2" sqref="A2"/>
      <selection pane="bottomLeft" activeCell="J21" sqref="J21"/>
    </sheetView>
  </sheetViews>
  <sheetFormatPr defaultColWidth="0" defaultRowHeight="22.8" zeroHeight="1"/>
  <cols>
    <col min="1" max="1" width="16.44140625" style="66" customWidth="1"/>
    <col min="2" max="2" width="70.44140625" style="67" customWidth="1"/>
    <col min="3" max="3" width="6.44140625" style="67" bestFit="1" customWidth="1"/>
    <col min="4" max="4" width="11.5546875" style="72" bestFit="1" customWidth="1"/>
    <col min="5" max="5" width="6.44140625" style="67" bestFit="1" customWidth="1"/>
    <col min="6" max="6" width="10.44140625" style="72" bestFit="1" customWidth="1"/>
    <col min="7" max="7" width="6.44140625" style="67" bestFit="1" customWidth="1"/>
    <col min="8" max="8" width="14.5546875" style="72" bestFit="1" customWidth="1"/>
    <col min="9" max="9" width="7.5546875" style="67" bestFit="1" customWidth="1"/>
    <col min="10" max="10" width="15" style="72" bestFit="1" customWidth="1"/>
    <col min="11" max="11" width="12.33203125" style="67" bestFit="1" customWidth="1"/>
    <col min="12" max="12" width="8.44140625" style="63" customWidth="1"/>
    <col min="13" max="13" width="55.88671875" style="79" customWidth="1"/>
    <col min="14" max="249" width="0" style="63" hidden="1" customWidth="1"/>
    <col min="250" max="16384" width="22.44140625" style="63" hidden="1"/>
  </cols>
  <sheetData>
    <row r="1" spans="1:13">
      <c r="A1" s="457" t="s">
        <v>326</v>
      </c>
      <c r="B1" s="457" t="s">
        <v>325</v>
      </c>
      <c r="C1" s="456" t="s">
        <v>324</v>
      </c>
      <c r="D1" s="456"/>
      <c r="E1" s="456" t="s">
        <v>327</v>
      </c>
      <c r="F1" s="456"/>
      <c r="G1" s="456" t="s">
        <v>323</v>
      </c>
      <c r="H1" s="456"/>
      <c r="I1" s="456" t="s">
        <v>322</v>
      </c>
      <c r="J1" s="456"/>
      <c r="K1" s="459" t="s">
        <v>321</v>
      </c>
      <c r="M1" s="80" t="s">
        <v>328</v>
      </c>
    </row>
    <row r="2" spans="1:13">
      <c r="A2" s="458"/>
      <c r="B2" s="458"/>
      <c r="C2" s="74" t="s">
        <v>320</v>
      </c>
      <c r="D2" s="75" t="s">
        <v>36</v>
      </c>
      <c r="E2" s="74" t="s">
        <v>320</v>
      </c>
      <c r="F2" s="75" t="s">
        <v>36</v>
      </c>
      <c r="G2" s="74" t="s">
        <v>320</v>
      </c>
      <c r="H2" s="75" t="s">
        <v>36</v>
      </c>
      <c r="I2" s="74" t="s">
        <v>320</v>
      </c>
      <c r="J2" s="75" t="s">
        <v>36</v>
      </c>
      <c r="K2" s="460"/>
      <c r="M2" s="80" t="s">
        <v>329</v>
      </c>
    </row>
    <row r="3" spans="1:13" ht="30.75" customHeight="1">
      <c r="A3" s="461" t="s">
        <v>125</v>
      </c>
      <c r="B3" s="65" t="s">
        <v>14</v>
      </c>
      <c r="C3" s="178">
        <f>COUNTIFS('Quadro Geral'!$D:$D,'Matriz de Obj. Estrat.'!$B3,'Quadro Geral'!$B:$B,"P")</f>
        <v>0</v>
      </c>
      <c r="D3" s="179">
        <f>SUMIFS('Quadro Geral'!$H:$H,'Quadro Geral'!$D:$D,'Matriz de Obj. Estrat.'!$B3,'Quadro Geral'!$B:$B,"P")</f>
        <v>0</v>
      </c>
      <c r="E3" s="178">
        <f>COUNTIFS('Quadro Geral'!$D:$D,'Matriz de Obj. Estrat.'!$B3,'Quadro Geral'!$B:$B,"PE")</f>
        <v>0</v>
      </c>
      <c r="F3" s="179">
        <f>SUMIFS('Quadro Geral'!$H:$H,'Quadro Geral'!$D:$D,'Matriz de Obj. Estrat.'!$B3,'Quadro Geral'!$B:$B,"PE")</f>
        <v>0</v>
      </c>
      <c r="G3" s="178">
        <f>COUNTIFS('Quadro Geral'!$D:$D,'Matriz de Obj. Estrat.'!$B3,'Quadro Geral'!$B:$B,"A")</f>
        <v>0</v>
      </c>
      <c r="H3" s="179">
        <f>SUMIFS('Quadro Geral'!$H:$H,'Quadro Geral'!$D:$D,'Matriz de Obj. Estrat.'!$B3,'Quadro Geral'!$B:$B,"A")</f>
        <v>0</v>
      </c>
      <c r="I3" s="178">
        <f>C3+E3+G3</f>
        <v>0</v>
      </c>
      <c r="J3" s="179">
        <f>D3+F3+H3</f>
        <v>0</v>
      </c>
      <c r="K3" s="180">
        <f t="shared" ref="K3:K18" si="0">IFERROR(J3/$J$19*100,0)</f>
        <v>0</v>
      </c>
      <c r="M3" s="177" t="s">
        <v>21</v>
      </c>
    </row>
    <row r="4" spans="1:13" ht="30.75" customHeight="1">
      <c r="A4" s="461"/>
      <c r="B4" s="65" t="s">
        <v>114</v>
      </c>
      <c r="C4" s="178">
        <f>COUNTIFS('Quadro Geral'!$D:$D,'Matriz de Obj. Estrat.'!$B4,'Quadro Geral'!$B:$B,"P")</f>
        <v>0</v>
      </c>
      <c r="D4" s="179">
        <f>SUMIFS('Quadro Geral'!$H:$H,'Quadro Geral'!$D:$D,'Matriz de Obj. Estrat.'!$B4,'Quadro Geral'!$B:$B,"P")</f>
        <v>0</v>
      </c>
      <c r="E4" s="178">
        <f>COUNTIFS('Quadro Geral'!$D:$D,'Matriz de Obj. Estrat.'!$B4,'Quadro Geral'!$B:$B,"PE")</f>
        <v>0</v>
      </c>
      <c r="F4" s="179">
        <f>SUMIFS('Quadro Geral'!$H:$H,'Quadro Geral'!$D:$D,'Matriz de Obj. Estrat.'!$B4,'Quadro Geral'!$B:$B,"PE")</f>
        <v>0</v>
      </c>
      <c r="G4" s="178">
        <f>COUNTIFS('Quadro Geral'!$D:$D,'Matriz de Obj. Estrat.'!$B4,'Quadro Geral'!$B:$B,"A")</f>
        <v>0</v>
      </c>
      <c r="H4" s="179">
        <f>SUMIFS('Quadro Geral'!$H:$H,'Quadro Geral'!$D:$D,'Matriz de Obj. Estrat.'!$B4,'Quadro Geral'!$B:$B,"A")</f>
        <v>0</v>
      </c>
      <c r="I4" s="178">
        <f t="shared" ref="I4:I18" si="1">C4+E4+G4</f>
        <v>0</v>
      </c>
      <c r="J4" s="179">
        <f t="shared" ref="J4:J18" si="2">D4+F4+H4</f>
        <v>0</v>
      </c>
      <c r="K4" s="180">
        <f t="shared" si="0"/>
        <v>0</v>
      </c>
      <c r="M4" s="177" t="s">
        <v>83</v>
      </c>
    </row>
    <row r="5" spans="1:13" ht="30.75" customHeight="1">
      <c r="A5" s="462" t="s">
        <v>319</v>
      </c>
      <c r="B5" s="65" t="s">
        <v>15</v>
      </c>
      <c r="C5" s="178">
        <f>COUNTIFS('Quadro Geral'!$D:$D,'Matriz de Obj. Estrat.'!$B5,'Quadro Geral'!$B:$B,"P")</f>
        <v>0</v>
      </c>
      <c r="D5" s="179">
        <f>SUMIFS('Quadro Geral'!$H:$H,'Quadro Geral'!$D:$D,'Matriz de Obj. Estrat.'!$B5,'Quadro Geral'!$B:$B,"P")</f>
        <v>0</v>
      </c>
      <c r="E5" s="178">
        <f>COUNTIFS('Quadro Geral'!$D:$D,'Matriz de Obj. Estrat.'!$B5,'Quadro Geral'!$B:$B,"PE")</f>
        <v>0</v>
      </c>
      <c r="F5" s="179">
        <f>SUMIFS('Quadro Geral'!$H:$H,'Quadro Geral'!$D:$D,'Matriz de Obj. Estrat.'!$B5,'Quadro Geral'!$B:$B,"PE")</f>
        <v>0</v>
      </c>
      <c r="G5" s="178">
        <f>COUNTIFS('Quadro Geral'!$D:$D,'Matriz de Obj. Estrat.'!$B5,'Quadro Geral'!$B:$B,"A")</f>
        <v>2</v>
      </c>
      <c r="H5" s="179">
        <f>SUMIFS('Quadro Geral'!$H:$H,'Quadro Geral'!$D:$D,'Matriz de Obj. Estrat.'!$B5,'Quadro Geral'!$B:$B,"A")</f>
        <v>460826.26999999996</v>
      </c>
      <c r="I5" s="178">
        <f t="shared" si="1"/>
        <v>2</v>
      </c>
      <c r="J5" s="179">
        <f t="shared" si="2"/>
        <v>460826.26999999996</v>
      </c>
      <c r="K5" s="180">
        <f t="shared" si="0"/>
        <v>39.529192806371519</v>
      </c>
      <c r="M5" s="177" t="s">
        <v>20</v>
      </c>
    </row>
    <row r="6" spans="1:13" ht="30.75" customHeight="1">
      <c r="A6" s="462"/>
      <c r="B6" s="65" t="s">
        <v>83</v>
      </c>
      <c r="C6" s="178">
        <f>COUNTIFS('Quadro Geral'!$D:$D,'Matriz de Obj. Estrat.'!$B6,'Quadro Geral'!$B:$B,"P")</f>
        <v>0</v>
      </c>
      <c r="D6" s="179">
        <f>SUMIFS('Quadro Geral'!$H:$H,'Quadro Geral'!$D:$D,'Matriz de Obj. Estrat.'!$B6,'Quadro Geral'!$B:$B,"P")</f>
        <v>0</v>
      </c>
      <c r="E6" s="178">
        <f>COUNTIFS('Quadro Geral'!$D:$D,'Matriz de Obj. Estrat.'!$B6,'Quadro Geral'!$B:$B,"PE")</f>
        <v>0</v>
      </c>
      <c r="F6" s="179">
        <f>SUMIFS('Quadro Geral'!$H:$H,'Quadro Geral'!$D:$D,'Matriz de Obj. Estrat.'!$B6,'Quadro Geral'!$B:$B,"PE")</f>
        <v>0</v>
      </c>
      <c r="G6" s="178">
        <f>COUNTIFS('Quadro Geral'!$D:$D,'Matriz de Obj. Estrat.'!$B6,'Quadro Geral'!$B:$B,"A")</f>
        <v>2</v>
      </c>
      <c r="H6" s="179">
        <f>SUMIFS('Quadro Geral'!$H:$H,'Quadro Geral'!$D:$D,'Matriz de Obj. Estrat.'!$B6,'Quadro Geral'!$B:$B,"A")</f>
        <v>146559.67999999999</v>
      </c>
      <c r="I6" s="178">
        <f t="shared" si="1"/>
        <v>2</v>
      </c>
      <c r="J6" s="227">
        <f t="shared" si="2"/>
        <v>146559.67999999999</v>
      </c>
      <c r="K6" s="180">
        <f t="shared" si="0"/>
        <v>12.571735218914739</v>
      </c>
    </row>
    <row r="7" spans="1:13" ht="30.75" customHeight="1">
      <c r="A7" s="462"/>
      <c r="B7" s="65" t="s">
        <v>17</v>
      </c>
      <c r="C7" s="178">
        <f>COUNTIFS('Quadro Geral'!$D:$D,'Matriz de Obj. Estrat.'!$B7,'Quadro Geral'!$B:$B,"P")</f>
        <v>0</v>
      </c>
      <c r="D7" s="179">
        <f>SUMIFS('Quadro Geral'!$H:$H,'Quadro Geral'!$D:$D,'Matriz de Obj. Estrat.'!$B7,'Quadro Geral'!$B:$B,"P")</f>
        <v>0</v>
      </c>
      <c r="E7" s="178">
        <f>COUNTIFS('Quadro Geral'!$D:$D,'Matriz de Obj. Estrat.'!$B7,'Quadro Geral'!$B:$B,"PE")</f>
        <v>0</v>
      </c>
      <c r="F7" s="179">
        <f>SUMIFS('Quadro Geral'!$H:$H,'Quadro Geral'!$D:$D,'Matriz de Obj. Estrat.'!$B7,'Quadro Geral'!$B:$B,"PE")</f>
        <v>0</v>
      </c>
      <c r="G7" s="178">
        <f>COUNTIFS('Quadro Geral'!$D:$D,'Matriz de Obj. Estrat.'!$B7,'Quadro Geral'!$B:$B,"A")</f>
        <v>0</v>
      </c>
      <c r="H7" s="179">
        <f>SUMIFS('Quadro Geral'!$H:$H,'Quadro Geral'!$D:$D,'Matriz de Obj. Estrat.'!$B7,'Quadro Geral'!$B:$B,"A")</f>
        <v>0</v>
      </c>
      <c r="I7" s="178">
        <f t="shared" si="1"/>
        <v>0</v>
      </c>
      <c r="J7" s="179">
        <f t="shared" si="2"/>
        <v>0</v>
      </c>
      <c r="K7" s="180">
        <f t="shared" si="0"/>
        <v>0</v>
      </c>
    </row>
    <row r="8" spans="1:13" ht="30.75" customHeight="1">
      <c r="A8" s="462"/>
      <c r="B8" s="65" t="s">
        <v>95</v>
      </c>
      <c r="C8" s="178">
        <f>COUNTIFS('Quadro Geral'!$D:$D,'Matriz de Obj. Estrat.'!$B8,'Quadro Geral'!$B:$B,"P")</f>
        <v>0</v>
      </c>
      <c r="D8" s="179">
        <f>SUMIFS('Quadro Geral'!$H:$H,'Quadro Geral'!$D:$D,'Matriz de Obj. Estrat.'!$B8,'Quadro Geral'!$B:$B,"P")</f>
        <v>0</v>
      </c>
      <c r="E8" s="178">
        <f>COUNTIFS('Quadro Geral'!$D:$D,'Matriz de Obj. Estrat.'!$B8,'Quadro Geral'!$B:$B,"PE")</f>
        <v>0</v>
      </c>
      <c r="F8" s="179">
        <f>SUMIFS('Quadro Geral'!$H:$H,'Quadro Geral'!$D:$D,'Matriz de Obj. Estrat.'!$B8,'Quadro Geral'!$B:$B,"PE")</f>
        <v>0</v>
      </c>
      <c r="G8" s="178">
        <f>COUNTIFS('Quadro Geral'!$D:$D,'Matriz de Obj. Estrat.'!$B8,'Quadro Geral'!$B:$B,"A")</f>
        <v>0</v>
      </c>
      <c r="H8" s="179">
        <f>SUMIFS('Quadro Geral'!$H:$H,'Quadro Geral'!$D:$D,'Matriz de Obj. Estrat.'!$B8,'Quadro Geral'!$B:$B,"A")</f>
        <v>0</v>
      </c>
      <c r="I8" s="178">
        <f t="shared" si="1"/>
        <v>0</v>
      </c>
      <c r="J8" s="179">
        <f t="shared" si="2"/>
        <v>0</v>
      </c>
      <c r="K8" s="180">
        <f t="shared" si="0"/>
        <v>0</v>
      </c>
    </row>
    <row r="9" spans="1:13" ht="30.75" customHeight="1">
      <c r="A9" s="462"/>
      <c r="B9" s="65" t="s">
        <v>115</v>
      </c>
      <c r="C9" s="178">
        <f>COUNTIFS('Quadro Geral'!$D:$D,'Matriz de Obj. Estrat.'!$B9,'Quadro Geral'!$B:$B,"P")</f>
        <v>0</v>
      </c>
      <c r="D9" s="179">
        <f>SUMIFS('Quadro Geral'!$H:$H,'Quadro Geral'!$D:$D,'Matriz de Obj. Estrat.'!$B9,'Quadro Geral'!$B:$B,"P")</f>
        <v>0</v>
      </c>
      <c r="E9" s="178">
        <f>COUNTIFS('Quadro Geral'!$D:$D,'Matriz de Obj. Estrat.'!$B9,'Quadro Geral'!$B:$B,"PE")</f>
        <v>0</v>
      </c>
      <c r="F9" s="179">
        <f>SUMIFS('Quadro Geral'!$H:$H,'Quadro Geral'!$D:$D,'Matriz de Obj. Estrat.'!$B9,'Quadro Geral'!$B:$B,"PE")</f>
        <v>0</v>
      </c>
      <c r="G9" s="178">
        <f>COUNTIFS('Quadro Geral'!$D:$D,'Matriz de Obj. Estrat.'!$B9,'Quadro Geral'!$B:$B,"A")</f>
        <v>0</v>
      </c>
      <c r="H9" s="179">
        <f>SUMIFS('Quadro Geral'!$H:$H,'Quadro Geral'!$D:$D,'Matriz de Obj. Estrat.'!$B9,'Quadro Geral'!$B:$B,"A")</f>
        <v>0</v>
      </c>
      <c r="I9" s="178">
        <f t="shared" si="1"/>
        <v>0</v>
      </c>
      <c r="J9" s="179">
        <f t="shared" si="2"/>
        <v>0</v>
      </c>
      <c r="K9" s="180">
        <f t="shared" si="0"/>
        <v>0</v>
      </c>
    </row>
    <row r="10" spans="1:13" ht="30.75" customHeight="1">
      <c r="A10" s="462"/>
      <c r="B10" s="65" t="s">
        <v>89</v>
      </c>
      <c r="C10" s="178">
        <f>COUNTIFS('Quadro Geral'!$D:$D,'Matriz de Obj. Estrat.'!$B10,'Quadro Geral'!$B:$B,"P")</f>
        <v>0</v>
      </c>
      <c r="D10" s="179">
        <f>SUMIFS('Quadro Geral'!$H:$H,'Quadro Geral'!$D:$D,'Matriz de Obj. Estrat.'!$B10,'Quadro Geral'!$B:$B,"P")</f>
        <v>0</v>
      </c>
      <c r="E10" s="178">
        <f>COUNTIFS('Quadro Geral'!$D:$D,'Matriz de Obj. Estrat.'!$B10,'Quadro Geral'!$B:$B,"PE")</f>
        <v>0</v>
      </c>
      <c r="F10" s="179">
        <f>SUMIFS('Quadro Geral'!$H:$H,'Quadro Geral'!$D:$D,'Matriz de Obj. Estrat.'!$B10,'Quadro Geral'!$B:$B,"PE")</f>
        <v>0</v>
      </c>
      <c r="G10" s="178">
        <f>COUNTIFS('Quadro Geral'!$D:$D,'Matriz de Obj. Estrat.'!$B10,'Quadro Geral'!$B:$B,"A")</f>
        <v>1</v>
      </c>
      <c r="H10" s="179">
        <f>SUMIFS('Quadro Geral'!$H:$H,'Quadro Geral'!$D:$D,'Matriz de Obj. Estrat.'!$B10,'Quadro Geral'!$B:$B,"A")</f>
        <v>7691.56</v>
      </c>
      <c r="I10" s="178">
        <f t="shared" si="1"/>
        <v>1</v>
      </c>
      <c r="J10" s="179">
        <f t="shared" si="2"/>
        <v>7691.56</v>
      </c>
      <c r="K10" s="180">
        <f t="shared" si="0"/>
        <v>0.65977392786608058</v>
      </c>
    </row>
    <row r="11" spans="1:13" ht="30.75" customHeight="1">
      <c r="A11" s="462"/>
      <c r="B11" s="65" t="s">
        <v>20</v>
      </c>
      <c r="C11" s="178">
        <f>COUNTIFS('Quadro Geral'!$D:$D,'Matriz de Obj. Estrat.'!$B11,'Quadro Geral'!$B:$B,"P")</f>
        <v>0</v>
      </c>
      <c r="D11" s="179">
        <f>SUMIFS('Quadro Geral'!$H:$H,'Quadro Geral'!$D:$D,'Matriz de Obj. Estrat.'!$B11,'Quadro Geral'!$B:$B,"P")</f>
        <v>0</v>
      </c>
      <c r="E11" s="178">
        <f>COUNTIFS('Quadro Geral'!$D:$D,'Matriz de Obj. Estrat.'!$B11,'Quadro Geral'!$B:$B,"PE")</f>
        <v>0</v>
      </c>
      <c r="F11" s="179">
        <f>SUMIFS('Quadro Geral'!$H:$H,'Quadro Geral'!$D:$D,'Matriz de Obj. Estrat.'!$B11,'Quadro Geral'!$B:$B,"PE")</f>
        <v>0</v>
      </c>
      <c r="G11" s="178">
        <f>COUNTIFS('Quadro Geral'!$D:$D,'Matriz de Obj. Estrat.'!$B11,'Quadro Geral'!$B:$B,"A")</f>
        <v>1</v>
      </c>
      <c r="H11" s="179">
        <f>SUMIFS('Quadro Geral'!$H:$H,'Quadro Geral'!$D:$D,'Matriz de Obj. Estrat.'!$B11,'Quadro Geral'!$B:$B,"A")</f>
        <v>79762.77</v>
      </c>
      <c r="I11" s="178">
        <f t="shared" si="1"/>
        <v>1</v>
      </c>
      <c r="J11" s="227">
        <f t="shared" si="2"/>
        <v>79762.77</v>
      </c>
      <c r="K11" s="180">
        <f t="shared" si="0"/>
        <v>6.8419665269956642</v>
      </c>
    </row>
    <row r="12" spans="1:13" ht="30.75" customHeight="1">
      <c r="A12" s="462"/>
      <c r="B12" s="65" t="s">
        <v>21</v>
      </c>
      <c r="C12" s="178">
        <f>COUNTIFS('Quadro Geral'!$D:$D,'Matriz de Obj. Estrat.'!$B12,'Quadro Geral'!$B:$B,"P")</f>
        <v>0</v>
      </c>
      <c r="D12" s="179">
        <f>SUMIFS('Quadro Geral'!$H:$H,'Quadro Geral'!$D:$D,'Matriz de Obj. Estrat.'!$B12,'Quadro Geral'!$B:$B,"P")</f>
        <v>0</v>
      </c>
      <c r="E12" s="178">
        <f>COUNTIFS('Quadro Geral'!$D:$D,'Matriz de Obj. Estrat.'!$B12,'Quadro Geral'!$B:$B,"PE")</f>
        <v>0</v>
      </c>
      <c r="F12" s="179">
        <f>SUMIFS('Quadro Geral'!$H:$H,'Quadro Geral'!$D:$D,'Matriz de Obj. Estrat.'!$B12,'Quadro Geral'!$B:$B,"PE")</f>
        <v>0</v>
      </c>
      <c r="G12" s="178">
        <f>COUNTIFS('Quadro Geral'!$D:$D,'Matriz de Obj. Estrat.'!$B12,'Quadro Geral'!$B:$B,"A")</f>
        <v>0</v>
      </c>
      <c r="H12" s="179">
        <f>SUMIFS('Quadro Geral'!$H:$H,'Quadro Geral'!$D:$D,'Matriz de Obj. Estrat.'!$B12,'Quadro Geral'!$B:$B,"A")</f>
        <v>0</v>
      </c>
      <c r="I12" s="178">
        <f t="shared" si="1"/>
        <v>0</v>
      </c>
      <c r="J12" s="227">
        <f t="shared" si="2"/>
        <v>0</v>
      </c>
      <c r="K12" s="180">
        <f t="shared" si="0"/>
        <v>0</v>
      </c>
    </row>
    <row r="13" spans="1:13" ht="30.75" customHeight="1">
      <c r="A13" s="462"/>
      <c r="B13" s="65" t="s">
        <v>22</v>
      </c>
      <c r="C13" s="178">
        <f>COUNTIFS('Quadro Geral'!$D:$D,'Matriz de Obj. Estrat.'!$B13,'Quadro Geral'!$B:$B,"P")</f>
        <v>1</v>
      </c>
      <c r="D13" s="179">
        <f>SUMIFS('Quadro Geral'!$H:$H,'Quadro Geral'!$D:$D,'Matriz de Obj. Estrat.'!$B13,'Quadro Geral'!$B:$B,"P")</f>
        <v>25680</v>
      </c>
      <c r="E13" s="178">
        <f>COUNTIFS('Quadro Geral'!$D:$D,'Matriz de Obj. Estrat.'!$B13,'Quadro Geral'!$B:$B,"PE")</f>
        <v>1</v>
      </c>
      <c r="F13" s="179">
        <f>SUMIFS('Quadro Geral'!$H:$H,'Quadro Geral'!$D:$D,'Matriz de Obj. Estrat.'!$B13,'Quadro Geral'!$B:$B,"PE")</f>
        <v>8312</v>
      </c>
      <c r="G13" s="178">
        <f>COUNTIFS('Quadro Geral'!$D:$D,'Matriz de Obj. Estrat.'!$B13,'Quadro Geral'!$B:$B,"A")</f>
        <v>0</v>
      </c>
      <c r="H13" s="179">
        <f>SUMIFS('Quadro Geral'!$H:$H,'Quadro Geral'!$D:$D,'Matriz de Obj. Estrat.'!$B13,'Quadro Geral'!$B:$B,"A")</f>
        <v>0</v>
      </c>
      <c r="I13" s="178">
        <f t="shared" si="1"/>
        <v>2</v>
      </c>
      <c r="J13" s="179">
        <f t="shared" si="2"/>
        <v>33992</v>
      </c>
      <c r="K13" s="180">
        <f t="shared" si="0"/>
        <v>2.915798011849847</v>
      </c>
    </row>
    <row r="14" spans="1:13" ht="30.75" customHeight="1">
      <c r="A14" s="462"/>
      <c r="B14" s="65" t="s">
        <v>23</v>
      </c>
      <c r="C14" s="178">
        <f>COUNTIFS('Quadro Geral'!$D:$D,'Matriz de Obj. Estrat.'!$B14,'Quadro Geral'!$B:$B,"P")</f>
        <v>0</v>
      </c>
      <c r="D14" s="179">
        <f>SUMIFS('Quadro Geral'!$H:$H,'Quadro Geral'!$D:$D,'Matriz de Obj. Estrat.'!$B14,'Quadro Geral'!$B:$B,"P")</f>
        <v>0</v>
      </c>
      <c r="E14" s="178">
        <f>COUNTIFS('Quadro Geral'!$D:$D,'Matriz de Obj. Estrat.'!$B14,'Quadro Geral'!$B:$B,"PE")</f>
        <v>0</v>
      </c>
      <c r="F14" s="179">
        <f>SUMIFS('Quadro Geral'!$H:$H,'Quadro Geral'!$D:$D,'Matriz de Obj. Estrat.'!$B14,'Quadro Geral'!$B:$B,"PE")</f>
        <v>0</v>
      </c>
      <c r="G14" s="178">
        <f>COUNTIFS('Quadro Geral'!$D:$D,'Matriz de Obj. Estrat.'!$B14,'Quadro Geral'!$B:$B,"A")</f>
        <v>2</v>
      </c>
      <c r="H14" s="179">
        <f>SUMIFS('Quadro Geral'!$H:$H,'Quadro Geral'!$D:$D,'Matriz de Obj. Estrat.'!$B14,'Quadro Geral'!$B:$B,"A")</f>
        <v>29952.48</v>
      </c>
      <c r="I14" s="178">
        <f t="shared" si="1"/>
        <v>2</v>
      </c>
      <c r="J14" s="179">
        <f t="shared" si="2"/>
        <v>29952.48</v>
      </c>
      <c r="K14" s="180">
        <f t="shared" si="0"/>
        <v>2.5692922344661189</v>
      </c>
    </row>
    <row r="15" spans="1:13" ht="30.75" customHeight="1">
      <c r="A15" s="462"/>
      <c r="B15" s="65" t="s">
        <v>24</v>
      </c>
      <c r="C15" s="178">
        <f>COUNTIFS('Quadro Geral'!$D:$D,'Matriz de Obj. Estrat.'!$B15,'Quadro Geral'!$B:$B,"P")</f>
        <v>0</v>
      </c>
      <c r="D15" s="179">
        <f>SUMIFS('Quadro Geral'!$H:$H,'Quadro Geral'!$D:$D,'Matriz de Obj. Estrat.'!$B15,'Quadro Geral'!$B:$B,"P")</f>
        <v>0</v>
      </c>
      <c r="E15" s="178">
        <f>COUNTIFS('Quadro Geral'!$D:$D,'Matriz de Obj. Estrat.'!$B15,'Quadro Geral'!$B:$B,"PE")</f>
        <v>0</v>
      </c>
      <c r="F15" s="179">
        <f>SUMIFS('Quadro Geral'!$H:$H,'Quadro Geral'!$D:$D,'Matriz de Obj. Estrat.'!$B15,'Quadro Geral'!$B:$B,"PE")</f>
        <v>0</v>
      </c>
      <c r="G15" s="178">
        <f>COUNTIFS('Quadro Geral'!$D:$D,'Matriz de Obj. Estrat.'!$B15,'Quadro Geral'!$B:$B,"A")</f>
        <v>1</v>
      </c>
      <c r="H15" s="179">
        <f>SUMIFS('Quadro Geral'!$H:$H,'Quadro Geral'!$D:$D,'Matriz de Obj. Estrat.'!$B15,'Quadro Geral'!$B:$B,"A")</f>
        <v>353352.44</v>
      </c>
      <c r="I15" s="178">
        <f t="shared" si="1"/>
        <v>1</v>
      </c>
      <c r="J15" s="179">
        <f t="shared" si="2"/>
        <v>353352.44</v>
      </c>
      <c r="K15" s="180">
        <f t="shared" si="0"/>
        <v>30.310200695289847</v>
      </c>
    </row>
    <row r="16" spans="1:13" ht="30.75" customHeight="1">
      <c r="A16" s="454" t="s">
        <v>318</v>
      </c>
      <c r="B16" s="65" t="s">
        <v>25</v>
      </c>
      <c r="C16" s="178">
        <f>COUNTIFS('Quadro Geral'!$D:$D,'Matriz de Obj. Estrat.'!$B16,'Quadro Geral'!$B:$B,"P")</f>
        <v>1</v>
      </c>
      <c r="D16" s="179">
        <f>SUMIFS('Quadro Geral'!$H:$H,'Quadro Geral'!$D:$D,'Matriz de Obj. Estrat.'!$B16,'Quadro Geral'!$B:$B,"P")</f>
        <v>19250</v>
      </c>
      <c r="E16" s="178">
        <f>COUNTIFS('Quadro Geral'!$D:$D,'Matriz de Obj. Estrat.'!$B16,'Quadro Geral'!$B:$B,"PE")</f>
        <v>0</v>
      </c>
      <c r="F16" s="179">
        <f>SUMIFS('Quadro Geral'!$H:$H,'Quadro Geral'!$D:$D,'Matriz de Obj. Estrat.'!$B16,'Quadro Geral'!$B:$B,"PE")</f>
        <v>0</v>
      </c>
      <c r="G16" s="178">
        <f>COUNTIFS('Quadro Geral'!$D:$D,'Matriz de Obj. Estrat.'!$B16,'Quadro Geral'!$B:$B,"A")</f>
        <v>0</v>
      </c>
      <c r="H16" s="179">
        <f>SUMIFS('Quadro Geral'!$H:$H,'Quadro Geral'!$D:$D,'Matriz de Obj. Estrat.'!$B16,'Quadro Geral'!$B:$B,"A")</f>
        <v>0</v>
      </c>
      <c r="I16" s="178">
        <f t="shared" si="1"/>
        <v>1</v>
      </c>
      <c r="J16" s="179">
        <f t="shared" si="2"/>
        <v>19250</v>
      </c>
      <c r="K16" s="180">
        <f t="shared" si="0"/>
        <v>1.6512447554750989</v>
      </c>
    </row>
    <row r="17" spans="1:12" ht="30.75" customHeight="1">
      <c r="A17" s="454"/>
      <c r="B17" s="65" t="s">
        <v>26</v>
      </c>
      <c r="C17" s="178">
        <f>COUNTIFS('Quadro Geral'!$D:$D,'Matriz de Obj. Estrat.'!$B17,'Quadro Geral'!$B:$B,"P")</f>
        <v>0</v>
      </c>
      <c r="D17" s="179">
        <f>SUMIFS('Quadro Geral'!$H:$H,'Quadro Geral'!$D:$D,'Matriz de Obj. Estrat.'!$B17,'Quadro Geral'!$B:$B,"P")</f>
        <v>0</v>
      </c>
      <c r="E17" s="178">
        <f>COUNTIFS('Quadro Geral'!$D:$D,'Matriz de Obj. Estrat.'!$B17,'Quadro Geral'!$B:$B,"PE")</f>
        <v>0</v>
      </c>
      <c r="F17" s="179">
        <f>SUMIFS('Quadro Geral'!$H:$H,'Quadro Geral'!$D:$D,'Matriz de Obj. Estrat.'!$B17,'Quadro Geral'!$B:$B,"PE")</f>
        <v>0</v>
      </c>
      <c r="G17" s="178">
        <f>COUNTIFS('Quadro Geral'!$D:$D,'Matriz de Obj. Estrat.'!$B17,'Quadro Geral'!$B:$B,"A")</f>
        <v>0</v>
      </c>
      <c r="H17" s="179">
        <f>SUMIFS('Quadro Geral'!$H:$H,'Quadro Geral'!$D:$D,'Matriz de Obj. Estrat.'!$B17,'Quadro Geral'!$B:$B,"A")</f>
        <v>0</v>
      </c>
      <c r="I17" s="178">
        <f t="shared" si="1"/>
        <v>0</v>
      </c>
      <c r="J17" s="179">
        <f t="shared" si="2"/>
        <v>0</v>
      </c>
      <c r="K17" s="180">
        <f t="shared" si="0"/>
        <v>0</v>
      </c>
    </row>
    <row r="18" spans="1:12" ht="30.75" customHeight="1">
      <c r="A18" s="454"/>
      <c r="B18" s="65" t="s">
        <v>27</v>
      </c>
      <c r="C18" s="178">
        <f>COUNTIFS('Quadro Geral'!$D:$D,'Matriz de Obj. Estrat.'!$B18,'Quadro Geral'!$B:$B,"P")</f>
        <v>1</v>
      </c>
      <c r="D18" s="179">
        <f>SUMIFS('Quadro Geral'!$H:$H,'Quadro Geral'!$D:$D,'Matriz de Obj. Estrat.'!$B18,'Quadro Geral'!$B:$B,"P")</f>
        <v>34400</v>
      </c>
      <c r="E18" s="178">
        <f>COUNTIFS('Quadro Geral'!$D:$D,'Matriz de Obj. Estrat.'!$B18,'Quadro Geral'!$B:$B,"PE")</f>
        <v>0</v>
      </c>
      <c r="F18" s="179">
        <f>SUMIFS('Quadro Geral'!$H:$H,'Quadro Geral'!$D:$D,'Matriz de Obj. Estrat.'!$B18,'Quadro Geral'!$B:$B,"PE")</f>
        <v>0</v>
      </c>
      <c r="G18" s="178">
        <f>COUNTIFS('Quadro Geral'!$D:$D,'Matriz de Obj. Estrat.'!$B18,'Quadro Geral'!$B:$B,"A")</f>
        <v>0</v>
      </c>
      <c r="H18" s="179">
        <f>SUMIFS('Quadro Geral'!$H:$H,'Quadro Geral'!$D:$D,'Matriz de Obj. Estrat.'!$B18,'Quadro Geral'!$B:$B,"A")</f>
        <v>0</v>
      </c>
      <c r="I18" s="178">
        <f t="shared" si="1"/>
        <v>1</v>
      </c>
      <c r="J18" s="179">
        <f t="shared" si="2"/>
        <v>34400</v>
      </c>
      <c r="K18" s="180">
        <f t="shared" si="0"/>
        <v>2.9507958227710853</v>
      </c>
    </row>
    <row r="19" spans="1:12" ht="23.4">
      <c r="A19" s="455" t="s">
        <v>3</v>
      </c>
      <c r="B19" s="455"/>
      <c r="C19" s="76">
        <f>SUM(C3:C18)</f>
        <v>3</v>
      </c>
      <c r="D19" s="76">
        <f t="shared" ref="D19:J19" si="3">SUM(D3:D18)</f>
        <v>79330</v>
      </c>
      <c r="E19" s="76">
        <f t="shared" si="3"/>
        <v>1</v>
      </c>
      <c r="F19" s="76">
        <f t="shared" si="3"/>
        <v>8312</v>
      </c>
      <c r="G19" s="76">
        <f t="shared" si="3"/>
        <v>9</v>
      </c>
      <c r="H19" s="76">
        <f t="shared" si="3"/>
        <v>1078145.2</v>
      </c>
      <c r="I19" s="76">
        <f t="shared" si="3"/>
        <v>13</v>
      </c>
      <c r="J19" s="76">
        <f t="shared" si="3"/>
        <v>1165787.2</v>
      </c>
      <c r="K19" s="77">
        <f>SUM(K3:K18)</f>
        <v>100.00000000000001</v>
      </c>
      <c r="L19" s="64"/>
    </row>
    <row r="20" spans="1:12">
      <c r="D20" s="73"/>
      <c r="E20" s="68"/>
      <c r="F20" s="73"/>
      <c r="G20" s="69"/>
      <c r="H20" s="73"/>
      <c r="I20" s="69"/>
      <c r="J20" s="78">
        <f>'Quadro Geral'!H24</f>
        <v>1165787.2</v>
      </c>
    </row>
    <row r="21" spans="1:12">
      <c r="C21" s="70"/>
      <c r="G21" s="70"/>
      <c r="J21" s="78" t="b">
        <f>J20=J19</f>
        <v>1</v>
      </c>
    </row>
    <row r="22" spans="1:12" hidden="1">
      <c r="E22" s="71"/>
    </row>
    <row r="23" spans="1:12" hidden="1">
      <c r="E23" s="71"/>
      <c r="G23" s="70"/>
    </row>
    <row r="24" spans="1:12" hidden="1">
      <c r="E24" s="71"/>
    </row>
    <row r="25" spans="1:12" hidden="1">
      <c r="A25" s="67"/>
      <c r="I25" s="70"/>
    </row>
    <row r="26" spans="1:12" hidden="1">
      <c r="A26" s="67"/>
      <c r="G26" s="71"/>
      <c r="I26" s="70"/>
    </row>
  </sheetData>
  <mergeCells count="11">
    <mergeCell ref="G1:H1"/>
    <mergeCell ref="I1:J1"/>
    <mergeCell ref="K1:K2"/>
    <mergeCell ref="A3:A4"/>
    <mergeCell ref="A5:A15"/>
    <mergeCell ref="A16:A18"/>
    <mergeCell ref="A19:B19"/>
    <mergeCell ref="E1:F1"/>
    <mergeCell ref="A1:A2"/>
    <mergeCell ref="B1:B2"/>
    <mergeCell ref="C1:D1"/>
  </mergeCells>
  <conditionalFormatting sqref="C2:D2 G2:I2">
    <cfRule type="cellIs" dxfId="7" priority="14" operator="equal">
      <formula>"S"</formula>
    </cfRule>
    <cfRule type="cellIs" dxfId="6" priority="15" operator="equal">
      <formula>"P"</formula>
    </cfRule>
    <cfRule type="cellIs" dxfId="5" priority="16" operator="equal">
      <formula>"x"</formula>
    </cfRule>
  </conditionalFormatting>
  <conditionalFormatting sqref="E2:F2">
    <cfRule type="cellIs" dxfId="4" priority="11" operator="equal">
      <formula>"S"</formula>
    </cfRule>
    <cfRule type="cellIs" dxfId="3" priority="12" operator="equal">
      <formula>"P"</formula>
    </cfRule>
    <cfRule type="cellIs" dxfId="2" priority="13" operator="equal">
      <formula>"x"</formula>
    </cfRule>
  </conditionalFormatting>
  <conditionalFormatting sqref="J21">
    <cfRule type="cellIs" dxfId="1" priority="9" operator="equal">
      <formula>TRUE</formula>
    </cfRule>
    <cfRule type="cellIs" dxfId="0" priority="10" operator="equal">
      <formula>FALSE</formula>
    </cfRule>
  </conditionalFormatting>
  <pageMargins left="0.511811024" right="0.511811024" top="0.78740157499999996" bottom="0.78740157499999996" header="0.31496062000000002" footer="0.31496062000000002"/>
  <pageSetup scale="3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'Validação de dados'!$D$1:$D$16</xm:f>
          </x14:formula1>
          <xm:sqref>M3:M5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O140"/>
  <sheetViews>
    <sheetView topLeftCell="A71" zoomScale="130" zoomScaleNormal="130" workbookViewId="0">
      <selection activeCell="H72" sqref="H72:J72"/>
    </sheetView>
  </sheetViews>
  <sheetFormatPr defaultColWidth="11.44140625" defaultRowHeight="14.4"/>
  <cols>
    <col min="4" max="4" width="21.109375" customWidth="1"/>
    <col min="5" max="8" width="11.44140625" hidden="1" customWidth="1"/>
    <col min="11" max="11" width="13" bestFit="1" customWidth="1"/>
    <col min="12" max="12" width="12.6640625" bestFit="1" customWidth="1"/>
    <col min="14" max="14" width="12.44140625" bestFit="1" customWidth="1"/>
  </cols>
  <sheetData>
    <row r="1" spans="1:13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2" hidden="1">
      <c r="A2" s="481" t="s">
        <v>382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1"/>
      <c r="M2" s="1"/>
    </row>
    <row r="3" spans="1:13" ht="15" hidden="1">
      <c r="A3" s="485" t="s">
        <v>383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1"/>
      <c r="M3" s="1"/>
    </row>
    <row r="4" spans="1:13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idden="1">
      <c r="A5" s="485" t="s">
        <v>384</v>
      </c>
      <c r="B5" s="485"/>
      <c r="C5" s="485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idden="1">
      <c r="A6" s="485"/>
      <c r="B6" s="485"/>
      <c r="C6" s="485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idden="1">
      <c r="A8" s="486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</row>
    <row r="9" spans="1:13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482" t="s">
        <v>385</v>
      </c>
      <c r="M9" s="482"/>
    </row>
    <row r="10" spans="1:13" ht="17.399999999999999" hidden="1">
      <c r="A10" s="487" t="s">
        <v>386</v>
      </c>
      <c r="B10" s="487"/>
      <c r="C10" s="487"/>
      <c r="D10" s="487"/>
      <c r="E10" s="487"/>
      <c r="F10" s="487"/>
      <c r="G10" s="487"/>
      <c r="H10" s="487"/>
      <c r="I10" s="487"/>
      <c r="J10" s="487"/>
      <c r="K10" s="487"/>
      <c r="L10" s="487"/>
      <c r="M10" s="487"/>
    </row>
    <row r="11" spans="1:13" hidden="1">
      <c r="A11" s="479"/>
      <c r="B11" s="479"/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79"/>
    </row>
    <row r="12" spans="1:13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idden="1">
      <c r="A13" s="480"/>
      <c r="B13" s="480"/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480"/>
    </row>
    <row r="14" spans="1:13" hidden="1">
      <c r="A14" s="481" t="s">
        <v>382</v>
      </c>
      <c r="B14" s="481"/>
      <c r="C14" s="481"/>
      <c r="D14" s="1"/>
      <c r="E14" s="1"/>
      <c r="F14" s="1"/>
      <c r="G14" s="1"/>
      <c r="H14" s="1"/>
      <c r="I14" s="1"/>
      <c r="J14" s="1"/>
      <c r="K14" s="1"/>
      <c r="L14" s="482" t="s">
        <v>385</v>
      </c>
      <c r="M14" s="482"/>
    </row>
    <row r="15" spans="1:13" hidden="1">
      <c r="A15" s="481"/>
      <c r="B15" s="481"/>
      <c r="C15" s="48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idden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5">
      <c r="A17" s="483"/>
      <c r="B17" s="483"/>
      <c r="C17" s="483"/>
      <c r="D17" s="483"/>
      <c r="E17" s="483"/>
      <c r="F17" s="483"/>
      <c r="G17" s="483"/>
      <c r="H17" s="483"/>
      <c r="I17" s="483"/>
      <c r="J17" s="483"/>
      <c r="K17" s="483"/>
      <c r="L17" s="483"/>
      <c r="M17" s="483"/>
    </row>
    <row r="18" spans="1:15" hidden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5">
      <c r="A19" s="484"/>
      <c r="B19" s="484"/>
      <c r="C19" s="484"/>
      <c r="D19" s="484"/>
      <c r="E19" s="484"/>
      <c r="F19" s="484"/>
      <c r="G19" s="484"/>
      <c r="H19" s="484"/>
      <c r="I19" s="484"/>
      <c r="J19" s="484"/>
      <c r="K19" s="484"/>
      <c r="L19" s="484"/>
      <c r="M19" s="484"/>
    </row>
    <row r="20" spans="1:15" ht="22.8">
      <c r="A20" s="477" t="s">
        <v>387</v>
      </c>
      <c r="B20" s="477"/>
      <c r="C20" s="477"/>
      <c r="D20" s="478" t="s">
        <v>388</v>
      </c>
      <c r="E20" s="478"/>
      <c r="F20" s="478"/>
      <c r="G20" s="188" t="s">
        <v>388</v>
      </c>
      <c r="H20" s="478" t="s">
        <v>389</v>
      </c>
      <c r="I20" s="478"/>
      <c r="J20" s="478"/>
      <c r="K20" s="188" t="s">
        <v>390</v>
      </c>
      <c r="L20" s="188" t="s">
        <v>391</v>
      </c>
      <c r="M20" s="188" t="s">
        <v>392</v>
      </c>
    </row>
    <row r="21" spans="1:15">
      <c r="A21" s="471" t="s">
        <v>393</v>
      </c>
      <c r="B21" s="471"/>
      <c r="C21" s="471"/>
      <c r="D21" s="472"/>
      <c r="E21" s="472"/>
      <c r="F21" s="472"/>
      <c r="G21" s="189"/>
      <c r="H21" s="473">
        <v>1316411.42</v>
      </c>
      <c r="I21" s="473"/>
      <c r="J21" s="473"/>
      <c r="K21" s="190">
        <v>1248955.25</v>
      </c>
      <c r="L21" s="214">
        <v>1615571.28</v>
      </c>
      <c r="M21" s="189">
        <v>366616.03</v>
      </c>
    </row>
    <row r="22" spans="1:15">
      <c r="A22" s="474" t="s">
        <v>394</v>
      </c>
      <c r="B22" s="474"/>
      <c r="C22" s="474"/>
      <c r="D22" s="475"/>
      <c r="E22" s="475"/>
      <c r="F22" s="475"/>
      <c r="G22" s="191"/>
      <c r="H22" s="476">
        <v>452388.5</v>
      </c>
      <c r="I22" s="476"/>
      <c r="J22" s="476"/>
      <c r="K22" s="192">
        <v>474207.77</v>
      </c>
      <c r="L22" s="214">
        <v>600687.26</v>
      </c>
      <c r="M22" s="191">
        <v>126479.49</v>
      </c>
    </row>
    <row r="23" spans="1:15">
      <c r="A23" s="471" t="s">
        <v>395</v>
      </c>
      <c r="B23" s="471"/>
      <c r="C23" s="471"/>
      <c r="D23" s="472"/>
      <c r="E23" s="472"/>
      <c r="F23" s="472"/>
      <c r="G23" s="189"/>
      <c r="H23" s="473">
        <v>452388.5</v>
      </c>
      <c r="I23" s="473"/>
      <c r="J23" s="473"/>
      <c r="K23" s="190">
        <v>474207.77</v>
      </c>
      <c r="L23" s="214">
        <v>600687.26</v>
      </c>
      <c r="M23" s="189">
        <v>126479.49</v>
      </c>
      <c r="N23" s="197" t="b">
        <f>L23='Fontes '!D9</f>
        <v>1</v>
      </c>
    </row>
    <row r="24" spans="1:15">
      <c r="A24" s="474" t="s">
        <v>396</v>
      </c>
      <c r="B24" s="474"/>
      <c r="C24" s="474"/>
      <c r="D24" s="475"/>
      <c r="E24" s="475"/>
      <c r="F24" s="475"/>
      <c r="G24" s="191"/>
      <c r="H24" s="476">
        <v>452388.5</v>
      </c>
      <c r="I24" s="476"/>
      <c r="J24" s="476"/>
      <c r="K24" s="192">
        <v>474207.77</v>
      </c>
      <c r="L24" s="214">
        <v>600687.26</v>
      </c>
      <c r="M24" s="191">
        <v>126479.49</v>
      </c>
      <c r="O24" s="210">
        <f>L24/K24</f>
        <v>1.2667174559370884</v>
      </c>
    </row>
    <row r="25" spans="1:15">
      <c r="A25" s="471" t="s">
        <v>397</v>
      </c>
      <c r="B25" s="471"/>
      <c r="C25" s="471"/>
      <c r="D25" s="472"/>
      <c r="E25" s="472"/>
      <c r="F25" s="472"/>
      <c r="G25" s="189"/>
      <c r="H25" s="473">
        <v>353719.63</v>
      </c>
      <c r="I25" s="473"/>
      <c r="J25" s="473"/>
      <c r="K25" s="190">
        <v>340847.92</v>
      </c>
      <c r="L25" s="214">
        <v>349412.09</v>
      </c>
      <c r="M25" s="189">
        <v>8564.17</v>
      </c>
    </row>
    <row r="26" spans="1:15">
      <c r="A26" s="474" t="s">
        <v>398</v>
      </c>
      <c r="B26" s="474"/>
      <c r="C26" s="474"/>
      <c r="D26" s="475"/>
      <c r="E26" s="475"/>
      <c r="F26" s="475"/>
      <c r="G26" s="191"/>
      <c r="H26" s="476">
        <v>56620.41</v>
      </c>
      <c r="I26" s="476"/>
      <c r="J26" s="476"/>
      <c r="K26" s="192">
        <v>90592.66</v>
      </c>
      <c r="L26" s="214">
        <v>211014.72</v>
      </c>
      <c r="M26" s="191">
        <v>120422.06</v>
      </c>
    </row>
    <row r="27" spans="1:15">
      <c r="A27" s="471" t="s">
        <v>399</v>
      </c>
      <c r="B27" s="471"/>
      <c r="C27" s="471"/>
      <c r="D27" s="472"/>
      <c r="E27" s="472"/>
      <c r="F27" s="472"/>
      <c r="G27" s="189"/>
      <c r="H27" s="473">
        <v>31449.599999999999</v>
      </c>
      <c r="I27" s="473"/>
      <c r="J27" s="473"/>
      <c r="K27" s="190">
        <v>30126.93</v>
      </c>
      <c r="L27" s="214">
        <v>29771.58</v>
      </c>
      <c r="M27" s="189">
        <v>-355.35</v>
      </c>
    </row>
    <row r="28" spans="1:15">
      <c r="A28" s="474" t="s">
        <v>400</v>
      </c>
      <c r="B28" s="474"/>
      <c r="C28" s="474"/>
      <c r="D28" s="475"/>
      <c r="E28" s="475"/>
      <c r="F28" s="475"/>
      <c r="G28" s="191"/>
      <c r="H28" s="476">
        <v>10598.86</v>
      </c>
      <c r="I28" s="476"/>
      <c r="J28" s="476"/>
      <c r="K28" s="192">
        <v>12640.26</v>
      </c>
      <c r="L28" s="214">
        <v>10488.87</v>
      </c>
      <c r="M28" s="191">
        <v>-2151.39</v>
      </c>
    </row>
    <row r="29" spans="1:15">
      <c r="A29" s="471" t="s">
        <v>401</v>
      </c>
      <c r="B29" s="471"/>
      <c r="C29" s="471"/>
      <c r="D29" s="472"/>
      <c r="E29" s="472"/>
      <c r="F29" s="472"/>
      <c r="G29" s="189"/>
      <c r="H29" s="473">
        <v>505280</v>
      </c>
      <c r="I29" s="473"/>
      <c r="J29" s="473"/>
      <c r="K29" s="190">
        <v>523836.6</v>
      </c>
      <c r="L29" s="214">
        <v>711612.05</v>
      </c>
      <c r="M29" s="189">
        <v>187775.45</v>
      </c>
    </row>
    <row r="30" spans="1:15" ht="44.1" customHeight="1">
      <c r="A30" s="474" t="s">
        <v>402</v>
      </c>
      <c r="B30" s="474"/>
      <c r="C30" s="474"/>
      <c r="D30" s="475"/>
      <c r="E30" s="475"/>
      <c r="F30" s="475"/>
      <c r="G30" s="191"/>
      <c r="H30" s="476">
        <v>0</v>
      </c>
      <c r="I30" s="476"/>
      <c r="J30" s="476"/>
      <c r="K30" s="192">
        <v>0</v>
      </c>
      <c r="L30" s="214">
        <v>2096.54</v>
      </c>
      <c r="M30" s="191">
        <v>2096.54</v>
      </c>
    </row>
    <row r="31" spans="1:15">
      <c r="A31" s="471" t="s">
        <v>403</v>
      </c>
      <c r="B31" s="471"/>
      <c r="C31" s="471"/>
      <c r="D31" s="472"/>
      <c r="E31" s="472"/>
      <c r="F31" s="472"/>
      <c r="G31" s="189"/>
      <c r="H31" s="473">
        <v>0</v>
      </c>
      <c r="I31" s="473"/>
      <c r="J31" s="473"/>
      <c r="K31" s="190">
        <v>0</v>
      </c>
      <c r="L31" s="214">
        <v>2096.54</v>
      </c>
      <c r="M31" s="189">
        <v>2096.54</v>
      </c>
    </row>
    <row r="32" spans="1:15" ht="26.1" customHeight="1">
      <c r="A32" s="474" t="s">
        <v>404</v>
      </c>
      <c r="B32" s="474"/>
      <c r="C32" s="474"/>
      <c r="D32" s="475"/>
      <c r="E32" s="475"/>
      <c r="F32" s="475"/>
      <c r="G32" s="191"/>
      <c r="H32" s="476">
        <v>505280</v>
      </c>
      <c r="I32" s="476"/>
      <c r="J32" s="476"/>
      <c r="K32" s="192">
        <v>523836.6</v>
      </c>
      <c r="L32" s="214">
        <v>709515.51</v>
      </c>
      <c r="M32" s="191">
        <v>185678.91</v>
      </c>
      <c r="N32" t="b">
        <f>L32='Fontes '!D16</f>
        <v>1</v>
      </c>
      <c r="O32" s="210">
        <f>L32/K32</f>
        <v>1.3544595967521171</v>
      </c>
    </row>
    <row r="33" spans="1:14">
      <c r="A33" s="471" t="s">
        <v>405</v>
      </c>
      <c r="B33" s="471"/>
      <c r="C33" s="471"/>
      <c r="D33" s="472"/>
      <c r="E33" s="472"/>
      <c r="F33" s="472"/>
      <c r="G33" s="189"/>
      <c r="H33" s="473">
        <v>505280</v>
      </c>
      <c r="I33" s="473"/>
      <c r="J33" s="473"/>
      <c r="K33" s="190">
        <v>523836.6</v>
      </c>
      <c r="L33" s="214">
        <v>709515.51</v>
      </c>
      <c r="M33" s="189">
        <v>185678.91</v>
      </c>
    </row>
    <row r="34" spans="1:14">
      <c r="A34" s="474" t="s">
        <v>406</v>
      </c>
      <c r="B34" s="474"/>
      <c r="C34" s="474"/>
      <c r="D34" s="475"/>
      <c r="E34" s="475"/>
      <c r="F34" s="475"/>
      <c r="G34" s="191"/>
      <c r="H34" s="476">
        <v>58095.08</v>
      </c>
      <c r="I34" s="476"/>
      <c r="J34" s="476"/>
      <c r="K34" s="192">
        <v>49774.89</v>
      </c>
      <c r="L34" s="214">
        <v>95130.99</v>
      </c>
      <c r="M34" s="191">
        <v>45356.1</v>
      </c>
    </row>
    <row r="35" spans="1:14">
      <c r="A35" s="471" t="s">
        <v>407</v>
      </c>
      <c r="B35" s="471"/>
      <c r="C35" s="471"/>
      <c r="D35" s="472"/>
      <c r="E35" s="472"/>
      <c r="F35" s="472"/>
      <c r="G35" s="189"/>
      <c r="H35" s="473">
        <v>0</v>
      </c>
      <c r="I35" s="473"/>
      <c r="J35" s="473"/>
      <c r="K35" s="190">
        <v>0</v>
      </c>
      <c r="L35" s="214">
        <v>22533.34</v>
      </c>
      <c r="M35" s="189">
        <v>22533.34</v>
      </c>
    </row>
    <row r="36" spans="1:14">
      <c r="A36" s="474" t="s">
        <v>408</v>
      </c>
      <c r="B36" s="474"/>
      <c r="C36" s="474"/>
      <c r="D36" s="475"/>
      <c r="E36" s="475"/>
      <c r="F36" s="475"/>
      <c r="G36" s="191"/>
      <c r="H36" s="476">
        <v>0</v>
      </c>
      <c r="I36" s="476"/>
      <c r="J36" s="476"/>
      <c r="K36" s="192">
        <v>0</v>
      </c>
      <c r="L36" s="214">
        <v>22533.34</v>
      </c>
      <c r="M36" s="191">
        <v>22533.34</v>
      </c>
    </row>
    <row r="37" spans="1:14">
      <c r="A37" s="471" t="s">
        <v>409</v>
      </c>
      <c r="B37" s="471"/>
      <c r="C37" s="471"/>
      <c r="D37" s="472"/>
      <c r="E37" s="472"/>
      <c r="F37" s="472"/>
      <c r="G37" s="189"/>
      <c r="H37" s="473">
        <v>58095.08</v>
      </c>
      <c r="I37" s="473"/>
      <c r="J37" s="473"/>
      <c r="K37" s="190">
        <v>49774.89</v>
      </c>
      <c r="L37" s="214">
        <v>72597.649999999994</v>
      </c>
      <c r="M37" s="189">
        <v>22822.76</v>
      </c>
    </row>
    <row r="38" spans="1:14">
      <c r="A38" s="474" t="s">
        <v>410</v>
      </c>
      <c r="B38" s="474"/>
      <c r="C38" s="474"/>
      <c r="D38" s="475"/>
      <c r="E38" s="475"/>
      <c r="F38" s="475"/>
      <c r="G38" s="191"/>
      <c r="H38" s="476">
        <v>43095.08</v>
      </c>
      <c r="I38" s="476"/>
      <c r="J38" s="476"/>
      <c r="K38" s="192">
        <v>43774.89</v>
      </c>
      <c r="L38" s="214">
        <v>39824.75</v>
      </c>
      <c r="M38" s="191">
        <v>-3950.14</v>
      </c>
      <c r="N38" s="197"/>
    </row>
    <row r="39" spans="1:14">
      <c r="A39" s="471" t="s">
        <v>408</v>
      </c>
      <c r="B39" s="471"/>
      <c r="C39" s="471"/>
      <c r="D39" s="472"/>
      <c r="E39" s="472"/>
      <c r="F39" s="472"/>
      <c r="G39" s="189"/>
      <c r="H39" s="473">
        <v>38095.08</v>
      </c>
      <c r="I39" s="473"/>
      <c r="J39" s="473"/>
      <c r="K39" s="190">
        <v>38774.89</v>
      </c>
      <c r="L39" s="214">
        <v>39113.67</v>
      </c>
      <c r="M39" s="189">
        <v>338.78</v>
      </c>
    </row>
    <row r="40" spans="1:14">
      <c r="A40" s="474" t="s">
        <v>411</v>
      </c>
      <c r="B40" s="474"/>
      <c r="C40" s="474"/>
      <c r="D40" s="475"/>
      <c r="E40" s="475"/>
      <c r="F40" s="475"/>
      <c r="G40" s="191"/>
      <c r="H40" s="476">
        <v>5000</v>
      </c>
      <c r="I40" s="476"/>
      <c r="J40" s="476"/>
      <c r="K40" s="192">
        <v>5000</v>
      </c>
      <c r="L40" s="214">
        <v>711.08</v>
      </c>
      <c r="M40" s="191">
        <v>-4288.92</v>
      </c>
    </row>
    <row r="41" spans="1:14">
      <c r="A41" s="471" t="s">
        <v>412</v>
      </c>
      <c r="B41" s="471"/>
      <c r="C41" s="471"/>
      <c r="D41" s="472"/>
      <c r="E41" s="472"/>
      <c r="F41" s="472"/>
      <c r="G41" s="189"/>
      <c r="H41" s="473">
        <v>15000</v>
      </c>
      <c r="I41" s="473"/>
      <c r="J41" s="473"/>
      <c r="K41" s="190">
        <v>6000</v>
      </c>
      <c r="L41" s="214">
        <v>32772.9</v>
      </c>
      <c r="M41" s="189">
        <v>26772.9</v>
      </c>
      <c r="N41" t="b">
        <f>L41='Fontes '!D18</f>
        <v>1</v>
      </c>
    </row>
    <row r="42" spans="1:14">
      <c r="A42" s="474" t="s">
        <v>413</v>
      </c>
      <c r="B42" s="474"/>
      <c r="C42" s="474"/>
      <c r="D42" s="475"/>
      <c r="E42" s="475"/>
      <c r="F42" s="475"/>
      <c r="G42" s="191"/>
      <c r="H42" s="476">
        <v>15000</v>
      </c>
      <c r="I42" s="476"/>
      <c r="J42" s="476"/>
      <c r="K42" s="192">
        <v>6000</v>
      </c>
      <c r="L42" s="214">
        <v>32772.9</v>
      </c>
      <c r="M42" s="191">
        <v>26772.9</v>
      </c>
    </row>
    <row r="43" spans="1:14">
      <c r="A43" s="471" t="s">
        <v>414</v>
      </c>
      <c r="B43" s="471"/>
      <c r="C43" s="471"/>
      <c r="D43" s="472"/>
      <c r="E43" s="472"/>
      <c r="F43" s="472"/>
      <c r="G43" s="189"/>
      <c r="H43" s="473">
        <v>296180.65000000002</v>
      </c>
      <c r="I43" s="473"/>
      <c r="J43" s="473"/>
      <c r="K43" s="190">
        <v>197019.35</v>
      </c>
      <c r="L43" s="214">
        <v>199146.22</v>
      </c>
      <c r="M43" s="189">
        <v>2126.87</v>
      </c>
    </row>
    <row r="44" spans="1:14">
      <c r="A44" s="474" t="s">
        <v>415</v>
      </c>
      <c r="B44" s="474"/>
      <c r="C44" s="474"/>
      <c r="D44" s="475"/>
      <c r="E44" s="475"/>
      <c r="F44" s="475"/>
      <c r="G44" s="191"/>
      <c r="H44" s="476">
        <v>296180.65000000002</v>
      </c>
      <c r="I44" s="476"/>
      <c r="J44" s="476"/>
      <c r="K44" s="192">
        <v>197019.35</v>
      </c>
      <c r="L44" s="214">
        <v>199146.22</v>
      </c>
      <c r="M44" s="191">
        <v>2126.87</v>
      </c>
    </row>
    <row r="45" spans="1:14">
      <c r="A45" s="471" t="s">
        <v>416</v>
      </c>
      <c r="B45" s="471"/>
      <c r="C45" s="471"/>
      <c r="D45" s="472"/>
      <c r="E45" s="472"/>
      <c r="F45" s="472"/>
      <c r="G45" s="189"/>
      <c r="H45" s="473">
        <v>4467.1899999999996</v>
      </c>
      <c r="I45" s="473"/>
      <c r="J45" s="473"/>
      <c r="K45" s="190">
        <v>4116.6400000000003</v>
      </c>
      <c r="L45" s="214">
        <v>8994.76</v>
      </c>
      <c r="M45" s="189">
        <v>4878.12</v>
      </c>
    </row>
    <row r="46" spans="1:14">
      <c r="A46" s="474" t="s">
        <v>417</v>
      </c>
      <c r="B46" s="474"/>
      <c r="C46" s="474"/>
      <c r="D46" s="475"/>
      <c r="E46" s="475"/>
      <c r="F46" s="475"/>
      <c r="G46" s="191"/>
      <c r="H46" s="476">
        <v>0</v>
      </c>
      <c r="I46" s="476"/>
      <c r="J46" s="476"/>
      <c r="K46" s="192">
        <v>0</v>
      </c>
      <c r="L46" s="214">
        <v>2808.37</v>
      </c>
      <c r="M46" s="191">
        <v>2808.37</v>
      </c>
    </row>
    <row r="47" spans="1:14">
      <c r="A47" s="471" t="s">
        <v>408</v>
      </c>
      <c r="B47" s="471"/>
      <c r="C47" s="471"/>
      <c r="D47" s="472"/>
      <c r="E47" s="472"/>
      <c r="F47" s="472"/>
      <c r="G47" s="189"/>
      <c r="H47" s="473">
        <v>0</v>
      </c>
      <c r="I47" s="473"/>
      <c r="J47" s="473"/>
      <c r="K47" s="190">
        <v>0</v>
      </c>
      <c r="L47" s="214">
        <v>2808.37</v>
      </c>
      <c r="M47" s="189">
        <v>2808.37</v>
      </c>
    </row>
    <row r="48" spans="1:14">
      <c r="A48" s="474" t="s">
        <v>418</v>
      </c>
      <c r="B48" s="474"/>
      <c r="C48" s="474"/>
      <c r="D48" s="475"/>
      <c r="E48" s="475"/>
      <c r="F48" s="475"/>
      <c r="G48" s="191"/>
      <c r="H48" s="476">
        <v>4467.1899999999996</v>
      </c>
      <c r="I48" s="476"/>
      <c r="J48" s="476"/>
      <c r="K48" s="192">
        <v>4116.6400000000003</v>
      </c>
      <c r="L48" s="214">
        <v>6186.39</v>
      </c>
      <c r="M48" s="191">
        <v>2069.75</v>
      </c>
    </row>
    <row r="49" spans="1:13">
      <c r="A49" s="471" t="s">
        <v>419</v>
      </c>
      <c r="B49" s="471"/>
      <c r="C49" s="471"/>
      <c r="D49" s="472"/>
      <c r="E49" s="472"/>
      <c r="F49" s="472"/>
      <c r="G49" s="189"/>
      <c r="H49" s="473">
        <v>0</v>
      </c>
      <c r="I49" s="473"/>
      <c r="J49" s="473"/>
      <c r="K49" s="190">
        <v>0</v>
      </c>
      <c r="L49" s="214">
        <v>6186.39</v>
      </c>
      <c r="M49" s="189">
        <v>6186.39</v>
      </c>
    </row>
    <row r="50" spans="1:13">
      <c r="A50" s="474" t="s">
        <v>420</v>
      </c>
      <c r="B50" s="474"/>
      <c r="C50" s="474"/>
      <c r="D50" s="475"/>
      <c r="E50" s="475"/>
      <c r="F50" s="475"/>
      <c r="G50" s="191"/>
      <c r="H50" s="476">
        <v>4467.1899999999996</v>
      </c>
      <c r="I50" s="476"/>
      <c r="J50" s="476"/>
      <c r="K50" s="192">
        <v>4116.6400000000003</v>
      </c>
      <c r="L50" s="214">
        <v>0</v>
      </c>
      <c r="M50" s="191">
        <v>-4116.6400000000003</v>
      </c>
    </row>
    <row r="51" spans="1:13">
      <c r="A51" s="471" t="s">
        <v>421</v>
      </c>
      <c r="B51" s="471"/>
      <c r="C51" s="471"/>
      <c r="D51" s="472"/>
      <c r="E51" s="472"/>
      <c r="F51" s="472"/>
      <c r="G51" s="189"/>
      <c r="H51" s="473">
        <v>50000</v>
      </c>
      <c r="I51" s="473"/>
      <c r="J51" s="473"/>
      <c r="K51" s="190">
        <v>82220</v>
      </c>
      <c r="L51" s="214">
        <v>0</v>
      </c>
      <c r="M51" s="189">
        <v>-82220</v>
      </c>
    </row>
    <row r="52" spans="1:13">
      <c r="A52" s="474" t="s">
        <v>422</v>
      </c>
      <c r="B52" s="474"/>
      <c r="C52" s="474"/>
      <c r="D52" s="475"/>
      <c r="E52" s="475"/>
      <c r="F52" s="475"/>
      <c r="G52" s="191"/>
      <c r="H52" s="476">
        <v>50000</v>
      </c>
      <c r="I52" s="476"/>
      <c r="J52" s="476"/>
      <c r="K52" s="192">
        <v>82220</v>
      </c>
      <c r="L52" s="214">
        <v>0</v>
      </c>
      <c r="M52" s="191">
        <v>-82220</v>
      </c>
    </row>
    <row r="53" spans="1:13">
      <c r="A53" s="471" t="s">
        <v>423</v>
      </c>
      <c r="B53" s="471"/>
      <c r="C53" s="471"/>
      <c r="D53" s="472"/>
      <c r="E53" s="472"/>
      <c r="F53" s="472"/>
      <c r="G53" s="189"/>
      <c r="H53" s="473">
        <v>50000</v>
      </c>
      <c r="I53" s="473"/>
      <c r="J53" s="473"/>
      <c r="K53" s="190">
        <v>82220</v>
      </c>
      <c r="L53" s="214">
        <v>0</v>
      </c>
      <c r="M53" s="189">
        <v>-82220</v>
      </c>
    </row>
    <row r="54" spans="1:13">
      <c r="A54" s="474" t="s">
        <v>424</v>
      </c>
      <c r="B54" s="474"/>
      <c r="C54" s="474"/>
      <c r="D54" s="475"/>
      <c r="E54" s="475"/>
      <c r="F54" s="475"/>
      <c r="G54" s="191"/>
      <c r="H54" s="476">
        <v>50000</v>
      </c>
      <c r="I54" s="476"/>
      <c r="J54" s="476"/>
      <c r="K54" s="192">
        <v>82220</v>
      </c>
      <c r="L54" s="214">
        <v>0</v>
      </c>
      <c r="M54" s="191">
        <v>-82220</v>
      </c>
    </row>
    <row r="55" spans="1:13">
      <c r="A55" s="471" t="s">
        <v>425</v>
      </c>
      <c r="B55" s="471"/>
      <c r="C55" s="471"/>
      <c r="D55" s="472"/>
      <c r="E55" s="472"/>
      <c r="F55" s="472"/>
      <c r="G55" s="189"/>
      <c r="H55" s="473">
        <v>0</v>
      </c>
      <c r="I55" s="473"/>
      <c r="J55" s="473"/>
      <c r="K55" s="190">
        <v>0</v>
      </c>
      <c r="L55" s="214">
        <v>0</v>
      </c>
      <c r="M55" s="189">
        <v>0</v>
      </c>
    </row>
    <row r="56" spans="1:13">
      <c r="A56" s="468" t="s">
        <v>426</v>
      </c>
      <c r="B56" s="468"/>
      <c r="C56" s="468"/>
      <c r="D56" s="469"/>
      <c r="E56" s="469"/>
      <c r="F56" s="469"/>
      <c r="G56" s="193"/>
      <c r="H56" s="470">
        <v>1366411.42</v>
      </c>
      <c r="I56" s="470"/>
      <c r="J56" s="470"/>
      <c r="K56" s="194">
        <v>1331175.25</v>
      </c>
      <c r="L56" s="215">
        <v>1615571.28</v>
      </c>
      <c r="M56" s="193">
        <v>284396.03000000003</v>
      </c>
    </row>
    <row r="57" spans="1:13">
      <c r="A57" s="465" t="s">
        <v>427</v>
      </c>
      <c r="B57" s="465"/>
      <c r="C57" s="465"/>
      <c r="D57" s="466"/>
      <c r="E57" s="466"/>
      <c r="F57" s="466"/>
      <c r="G57" s="195"/>
      <c r="H57" s="467">
        <v>0</v>
      </c>
      <c r="I57" s="467"/>
      <c r="J57" s="467"/>
      <c r="K57" s="196">
        <v>0</v>
      </c>
      <c r="L57" s="215">
        <v>0</v>
      </c>
      <c r="M57" s="195">
        <v>0</v>
      </c>
    </row>
    <row r="58" spans="1:13">
      <c r="A58" s="468" t="s">
        <v>3</v>
      </c>
      <c r="B58" s="468"/>
      <c r="C58" s="468"/>
      <c r="D58" s="469"/>
      <c r="E58" s="469"/>
      <c r="F58" s="469"/>
      <c r="G58" s="193"/>
      <c r="H58" s="470">
        <v>1366411.42</v>
      </c>
      <c r="I58" s="470"/>
      <c r="J58" s="470"/>
      <c r="K58" s="194">
        <v>1331175.25</v>
      </c>
      <c r="L58" s="215">
        <v>1615571.28</v>
      </c>
      <c r="M58" s="193">
        <v>284396.03000000003</v>
      </c>
    </row>
    <row r="59" spans="1:13" ht="34.200000000000003">
      <c r="A59" s="477" t="s">
        <v>428</v>
      </c>
      <c r="B59" s="477"/>
      <c r="C59" s="477"/>
      <c r="D59" s="478" t="s">
        <v>429</v>
      </c>
      <c r="E59" s="478"/>
      <c r="F59" s="478"/>
      <c r="G59" s="188" t="s">
        <v>430</v>
      </c>
      <c r="H59" s="478" t="s">
        <v>431</v>
      </c>
      <c r="I59" s="478"/>
      <c r="J59" s="478"/>
      <c r="K59" s="188" t="s">
        <v>432</v>
      </c>
      <c r="L59" s="216" t="s">
        <v>433</v>
      </c>
      <c r="M59" s="188" t="s">
        <v>434</v>
      </c>
    </row>
    <row r="60" spans="1:13">
      <c r="A60" s="471" t="s">
        <v>435</v>
      </c>
      <c r="B60" s="471"/>
      <c r="C60" s="471"/>
      <c r="D60" s="472">
        <v>1366411.42</v>
      </c>
      <c r="E60" s="472"/>
      <c r="F60" s="472"/>
      <c r="G60" s="189">
        <v>1291858.25</v>
      </c>
      <c r="H60" s="473">
        <v>1126470.2</v>
      </c>
      <c r="I60" s="473"/>
      <c r="J60" s="473"/>
      <c r="K60" s="190">
        <v>1126470.2</v>
      </c>
      <c r="L60" s="214">
        <v>1094539.73</v>
      </c>
      <c r="M60" s="189">
        <v>165388.04999999999</v>
      </c>
    </row>
    <row r="61" spans="1:13">
      <c r="A61" s="474" t="s">
        <v>436</v>
      </c>
      <c r="B61" s="474"/>
      <c r="C61" s="474"/>
      <c r="D61" s="475">
        <v>644657</v>
      </c>
      <c r="E61" s="475"/>
      <c r="F61" s="475"/>
      <c r="G61" s="191">
        <v>680472.46</v>
      </c>
      <c r="H61" s="476">
        <v>667960.66</v>
      </c>
      <c r="I61" s="476"/>
      <c r="J61" s="476"/>
      <c r="K61" s="192">
        <v>667960.66</v>
      </c>
      <c r="L61" s="214">
        <v>654260.5</v>
      </c>
      <c r="M61" s="191">
        <v>12511.8</v>
      </c>
    </row>
    <row r="62" spans="1:13">
      <c r="A62" s="471" t="s">
        <v>437</v>
      </c>
      <c r="B62" s="471"/>
      <c r="C62" s="471"/>
      <c r="D62" s="472">
        <v>625557</v>
      </c>
      <c r="E62" s="472"/>
      <c r="F62" s="472"/>
      <c r="G62" s="189">
        <v>680472.46</v>
      </c>
      <c r="H62" s="473">
        <v>667960.66</v>
      </c>
      <c r="I62" s="473"/>
      <c r="J62" s="473"/>
      <c r="K62" s="190">
        <v>667960.66</v>
      </c>
      <c r="L62" s="214">
        <v>654260.5</v>
      </c>
      <c r="M62" s="189">
        <v>12511.8</v>
      </c>
    </row>
    <row r="63" spans="1:13">
      <c r="A63" s="474" t="s">
        <v>438</v>
      </c>
      <c r="B63" s="474"/>
      <c r="C63" s="474"/>
      <c r="D63" s="475">
        <v>436470.1</v>
      </c>
      <c r="E63" s="475"/>
      <c r="F63" s="475"/>
      <c r="G63" s="191">
        <v>491973.01</v>
      </c>
      <c r="H63" s="476">
        <v>485930.47</v>
      </c>
      <c r="I63" s="476"/>
      <c r="J63" s="476"/>
      <c r="K63" s="192">
        <v>485930.47</v>
      </c>
      <c r="L63" s="214">
        <v>485930.47</v>
      </c>
      <c r="M63" s="191">
        <v>6042.54</v>
      </c>
    </row>
    <row r="64" spans="1:13">
      <c r="A64" s="471" t="s">
        <v>439</v>
      </c>
      <c r="B64" s="471"/>
      <c r="C64" s="471"/>
      <c r="D64" s="472">
        <v>332194.65999999997</v>
      </c>
      <c r="E64" s="472"/>
      <c r="F64" s="472"/>
      <c r="G64" s="189">
        <v>378513.13</v>
      </c>
      <c r="H64" s="473">
        <v>377232.84</v>
      </c>
      <c r="I64" s="473"/>
      <c r="J64" s="473"/>
      <c r="K64" s="190">
        <v>377232.84</v>
      </c>
      <c r="L64" s="214">
        <v>377232.84</v>
      </c>
      <c r="M64" s="189">
        <v>1280.29</v>
      </c>
    </row>
    <row r="65" spans="1:13">
      <c r="A65" s="474" t="s">
        <v>440</v>
      </c>
      <c r="B65" s="474"/>
      <c r="C65" s="474"/>
      <c r="D65" s="475">
        <v>62400</v>
      </c>
      <c r="E65" s="475"/>
      <c r="F65" s="475"/>
      <c r="G65" s="191">
        <v>62750</v>
      </c>
      <c r="H65" s="476">
        <v>60120</v>
      </c>
      <c r="I65" s="476"/>
      <c r="J65" s="476"/>
      <c r="K65" s="192">
        <v>60120</v>
      </c>
      <c r="L65" s="214">
        <v>60120</v>
      </c>
      <c r="M65" s="191">
        <v>2630</v>
      </c>
    </row>
    <row r="66" spans="1:13">
      <c r="A66" s="471" t="s">
        <v>441</v>
      </c>
      <c r="B66" s="471"/>
      <c r="C66" s="471"/>
      <c r="D66" s="472">
        <v>30954.44</v>
      </c>
      <c r="E66" s="472"/>
      <c r="F66" s="472"/>
      <c r="G66" s="189">
        <v>38088.949999999997</v>
      </c>
      <c r="H66" s="473">
        <v>36315.269999999997</v>
      </c>
      <c r="I66" s="473"/>
      <c r="J66" s="473"/>
      <c r="K66" s="190">
        <v>36315.269999999997</v>
      </c>
      <c r="L66" s="214">
        <v>36315.269999999997</v>
      </c>
      <c r="M66" s="189">
        <v>1773.68</v>
      </c>
    </row>
    <row r="67" spans="1:13">
      <c r="A67" s="474" t="s">
        <v>442</v>
      </c>
      <c r="B67" s="474"/>
      <c r="C67" s="474"/>
      <c r="D67" s="475">
        <v>10921</v>
      </c>
      <c r="E67" s="475"/>
      <c r="F67" s="475"/>
      <c r="G67" s="191">
        <v>12620.93</v>
      </c>
      <c r="H67" s="476">
        <v>12262.36</v>
      </c>
      <c r="I67" s="476"/>
      <c r="J67" s="476"/>
      <c r="K67" s="192">
        <v>12262.36</v>
      </c>
      <c r="L67" s="214">
        <v>12262.36</v>
      </c>
      <c r="M67" s="191">
        <v>358.57</v>
      </c>
    </row>
    <row r="68" spans="1:13">
      <c r="A68" s="471" t="s">
        <v>443</v>
      </c>
      <c r="B68" s="471"/>
      <c r="C68" s="471"/>
      <c r="D68" s="472">
        <v>146846.9</v>
      </c>
      <c r="E68" s="472"/>
      <c r="F68" s="472"/>
      <c r="G68" s="189">
        <v>150022.71</v>
      </c>
      <c r="H68" s="473">
        <v>149604.91</v>
      </c>
      <c r="I68" s="473"/>
      <c r="J68" s="473"/>
      <c r="K68" s="190">
        <v>149604.91</v>
      </c>
      <c r="L68" s="214">
        <v>135904.75</v>
      </c>
      <c r="M68" s="189">
        <v>417.8</v>
      </c>
    </row>
    <row r="69" spans="1:13">
      <c r="A69" s="474" t="s">
        <v>444</v>
      </c>
      <c r="B69" s="474"/>
      <c r="C69" s="474"/>
      <c r="D69" s="475">
        <v>102792.2</v>
      </c>
      <c r="E69" s="475"/>
      <c r="F69" s="475"/>
      <c r="G69" s="191">
        <v>105995.51</v>
      </c>
      <c r="H69" s="476">
        <v>105916.22</v>
      </c>
      <c r="I69" s="476"/>
      <c r="J69" s="476"/>
      <c r="K69" s="192">
        <v>105916.22</v>
      </c>
      <c r="L69" s="214">
        <v>97489.14</v>
      </c>
      <c r="M69" s="191">
        <v>79.290000000000006</v>
      </c>
    </row>
    <row r="70" spans="1:13">
      <c r="A70" s="471" t="s">
        <v>445</v>
      </c>
      <c r="B70" s="471"/>
      <c r="C70" s="471"/>
      <c r="D70" s="472">
        <v>39159.4</v>
      </c>
      <c r="E70" s="472"/>
      <c r="F70" s="472"/>
      <c r="G70" s="189">
        <v>39159.4</v>
      </c>
      <c r="H70" s="473">
        <v>38834.379999999997</v>
      </c>
      <c r="I70" s="473"/>
      <c r="J70" s="473"/>
      <c r="K70" s="190">
        <v>38834.379999999997</v>
      </c>
      <c r="L70" s="214">
        <v>34308.6</v>
      </c>
      <c r="M70" s="189">
        <v>325.02</v>
      </c>
    </row>
    <row r="71" spans="1:13">
      <c r="A71" s="474" t="s">
        <v>446</v>
      </c>
      <c r="B71" s="474"/>
      <c r="C71" s="474"/>
      <c r="D71" s="475">
        <v>4895.3</v>
      </c>
      <c r="E71" s="475"/>
      <c r="F71" s="475"/>
      <c r="G71" s="191">
        <v>4867.8</v>
      </c>
      <c r="H71" s="476">
        <v>4854.3100000000004</v>
      </c>
      <c r="I71" s="476"/>
      <c r="J71" s="476"/>
      <c r="K71" s="192">
        <v>4854.3100000000004</v>
      </c>
      <c r="L71" s="214">
        <v>4107.01</v>
      </c>
      <c r="M71" s="191">
        <v>13.49</v>
      </c>
    </row>
    <row r="72" spans="1:13">
      <c r="A72" s="471" t="s">
        <v>447</v>
      </c>
      <c r="B72" s="471"/>
      <c r="C72" s="471"/>
      <c r="D72" s="472">
        <v>42240</v>
      </c>
      <c r="E72" s="472"/>
      <c r="F72" s="472"/>
      <c r="G72" s="189">
        <v>38476.74</v>
      </c>
      <c r="H72" s="473">
        <v>32425.279999999999</v>
      </c>
      <c r="I72" s="473"/>
      <c r="J72" s="473"/>
      <c r="K72" s="190">
        <v>32425.279999999999</v>
      </c>
      <c r="L72" s="214">
        <v>32425.279999999999</v>
      </c>
      <c r="M72" s="189">
        <v>6051.46</v>
      </c>
    </row>
    <row r="73" spans="1:13">
      <c r="A73" s="474" t="s">
        <v>448</v>
      </c>
      <c r="B73" s="474"/>
      <c r="C73" s="474"/>
      <c r="D73" s="475">
        <v>3600</v>
      </c>
      <c r="E73" s="475"/>
      <c r="F73" s="475"/>
      <c r="G73" s="191">
        <v>2100</v>
      </c>
      <c r="H73" s="476">
        <v>966.88</v>
      </c>
      <c r="I73" s="476"/>
      <c r="J73" s="476"/>
      <c r="K73" s="192">
        <v>966.88</v>
      </c>
      <c r="L73" s="214">
        <v>966.88</v>
      </c>
      <c r="M73" s="191">
        <v>1133.1199999999999</v>
      </c>
    </row>
    <row r="74" spans="1:13">
      <c r="A74" s="471" t="s">
        <v>449</v>
      </c>
      <c r="B74" s="471"/>
      <c r="C74" s="471"/>
      <c r="D74" s="472">
        <v>38640</v>
      </c>
      <c r="E74" s="472"/>
      <c r="F74" s="472"/>
      <c r="G74" s="189">
        <v>36376.74</v>
      </c>
      <c r="H74" s="473">
        <v>31458.400000000001</v>
      </c>
      <c r="I74" s="473"/>
      <c r="J74" s="473"/>
      <c r="K74" s="190">
        <v>31458.400000000001</v>
      </c>
      <c r="L74" s="214">
        <v>31458.400000000001</v>
      </c>
      <c r="M74" s="189">
        <v>4918.34</v>
      </c>
    </row>
    <row r="75" spans="1:13">
      <c r="A75" s="474" t="s">
        <v>450</v>
      </c>
      <c r="B75" s="474"/>
      <c r="C75" s="474"/>
      <c r="D75" s="475">
        <v>19100</v>
      </c>
      <c r="E75" s="475"/>
      <c r="F75" s="475"/>
      <c r="G75" s="191">
        <v>0</v>
      </c>
      <c r="H75" s="476">
        <v>0</v>
      </c>
      <c r="I75" s="476"/>
      <c r="J75" s="476"/>
      <c r="K75" s="192">
        <v>0</v>
      </c>
      <c r="L75" s="214">
        <v>0</v>
      </c>
      <c r="M75" s="191">
        <v>0</v>
      </c>
    </row>
    <row r="76" spans="1:13">
      <c r="A76" s="471" t="s">
        <v>451</v>
      </c>
      <c r="B76" s="471"/>
      <c r="C76" s="471"/>
      <c r="D76" s="472">
        <v>19100</v>
      </c>
      <c r="E76" s="472"/>
      <c r="F76" s="472"/>
      <c r="G76" s="189">
        <v>0</v>
      </c>
      <c r="H76" s="473">
        <v>0</v>
      </c>
      <c r="I76" s="473"/>
      <c r="J76" s="473"/>
      <c r="K76" s="190">
        <v>0</v>
      </c>
      <c r="L76" s="214">
        <v>0</v>
      </c>
      <c r="M76" s="189">
        <v>0</v>
      </c>
    </row>
    <row r="77" spans="1:13">
      <c r="A77" s="474" t="s">
        <v>452</v>
      </c>
      <c r="B77" s="474"/>
      <c r="C77" s="474"/>
      <c r="D77" s="475">
        <v>6500</v>
      </c>
      <c r="E77" s="475"/>
      <c r="F77" s="475"/>
      <c r="G77" s="191">
        <v>1347.96</v>
      </c>
      <c r="H77" s="476">
        <v>763.6</v>
      </c>
      <c r="I77" s="476"/>
      <c r="J77" s="476"/>
      <c r="K77" s="192">
        <v>763.6</v>
      </c>
      <c r="L77" s="214">
        <v>763.6</v>
      </c>
      <c r="M77" s="191">
        <v>584.36</v>
      </c>
    </row>
    <row r="78" spans="1:13">
      <c r="A78" s="471" t="s">
        <v>452</v>
      </c>
      <c r="B78" s="471"/>
      <c r="C78" s="471"/>
      <c r="D78" s="472">
        <v>6500</v>
      </c>
      <c r="E78" s="472"/>
      <c r="F78" s="472"/>
      <c r="G78" s="189">
        <v>1347.96</v>
      </c>
      <c r="H78" s="473">
        <v>763.6</v>
      </c>
      <c r="I78" s="473"/>
      <c r="J78" s="473"/>
      <c r="K78" s="190">
        <v>763.6</v>
      </c>
      <c r="L78" s="214">
        <v>763.6</v>
      </c>
      <c r="M78" s="189">
        <v>584.36</v>
      </c>
    </row>
    <row r="79" spans="1:13">
      <c r="A79" s="474" t="s">
        <v>453</v>
      </c>
      <c r="B79" s="474"/>
      <c r="C79" s="474"/>
      <c r="D79" s="475">
        <v>4500</v>
      </c>
      <c r="E79" s="475"/>
      <c r="F79" s="475"/>
      <c r="G79" s="191">
        <v>584.36</v>
      </c>
      <c r="H79" s="476">
        <v>0</v>
      </c>
      <c r="I79" s="476"/>
      <c r="J79" s="476"/>
      <c r="K79" s="192">
        <v>0</v>
      </c>
      <c r="L79" s="214">
        <v>0</v>
      </c>
      <c r="M79" s="191">
        <v>584.36</v>
      </c>
    </row>
    <row r="80" spans="1:13">
      <c r="A80" s="471" t="s">
        <v>454</v>
      </c>
      <c r="B80" s="471"/>
      <c r="C80" s="471"/>
      <c r="D80" s="472">
        <v>0</v>
      </c>
      <c r="E80" s="472"/>
      <c r="F80" s="472"/>
      <c r="G80" s="189">
        <v>650</v>
      </c>
      <c r="H80" s="473">
        <v>650</v>
      </c>
      <c r="I80" s="473"/>
      <c r="J80" s="473"/>
      <c r="K80" s="190">
        <v>650</v>
      </c>
      <c r="L80" s="214">
        <v>650</v>
      </c>
      <c r="M80" s="189">
        <v>0</v>
      </c>
    </row>
    <row r="81" spans="1:13">
      <c r="A81" s="474" t="s">
        <v>455</v>
      </c>
      <c r="B81" s="474"/>
      <c r="C81" s="474"/>
      <c r="D81" s="475">
        <v>0</v>
      </c>
      <c r="E81" s="475"/>
      <c r="F81" s="475"/>
      <c r="G81" s="191">
        <v>113.6</v>
      </c>
      <c r="H81" s="476">
        <v>113.6</v>
      </c>
      <c r="I81" s="476"/>
      <c r="J81" s="476"/>
      <c r="K81" s="192">
        <v>113.6</v>
      </c>
      <c r="L81" s="214">
        <v>113.6</v>
      </c>
      <c r="M81" s="191">
        <v>0</v>
      </c>
    </row>
    <row r="82" spans="1:13">
      <c r="A82" s="471" t="s">
        <v>456</v>
      </c>
      <c r="B82" s="471"/>
      <c r="C82" s="471"/>
      <c r="D82" s="472">
        <v>2000</v>
      </c>
      <c r="E82" s="472"/>
      <c r="F82" s="472"/>
      <c r="G82" s="189">
        <v>0</v>
      </c>
      <c r="H82" s="473">
        <v>0</v>
      </c>
      <c r="I82" s="473"/>
      <c r="J82" s="473"/>
      <c r="K82" s="190">
        <v>0</v>
      </c>
      <c r="L82" s="214">
        <v>0</v>
      </c>
      <c r="M82" s="189">
        <v>0</v>
      </c>
    </row>
    <row r="83" spans="1:13">
      <c r="A83" s="474" t="s">
        <v>457</v>
      </c>
      <c r="B83" s="474"/>
      <c r="C83" s="474"/>
      <c r="D83" s="475">
        <v>51840</v>
      </c>
      <c r="E83" s="475"/>
      <c r="F83" s="475"/>
      <c r="G83" s="191">
        <v>42791.49</v>
      </c>
      <c r="H83" s="476">
        <v>44431.49</v>
      </c>
      <c r="I83" s="476"/>
      <c r="J83" s="476"/>
      <c r="K83" s="192">
        <v>42791.49</v>
      </c>
      <c r="L83" s="214">
        <v>42791.49</v>
      </c>
      <c r="M83" s="191">
        <v>-1640</v>
      </c>
    </row>
    <row r="84" spans="1:13">
      <c r="A84" s="471" t="s">
        <v>458</v>
      </c>
      <c r="B84" s="471"/>
      <c r="C84" s="471"/>
      <c r="D84" s="472">
        <v>51840</v>
      </c>
      <c r="E84" s="472"/>
      <c r="F84" s="472"/>
      <c r="G84" s="189">
        <v>39216.49</v>
      </c>
      <c r="H84" s="473">
        <v>40856.49</v>
      </c>
      <c r="I84" s="473"/>
      <c r="J84" s="473"/>
      <c r="K84" s="190">
        <v>39216.49</v>
      </c>
      <c r="L84" s="214">
        <v>39216.49</v>
      </c>
      <c r="M84" s="189">
        <v>-1640</v>
      </c>
    </row>
    <row r="85" spans="1:13">
      <c r="A85" s="474" t="s">
        <v>459</v>
      </c>
      <c r="B85" s="474"/>
      <c r="C85" s="474"/>
      <c r="D85" s="475">
        <v>23040</v>
      </c>
      <c r="E85" s="475"/>
      <c r="F85" s="475"/>
      <c r="G85" s="191">
        <v>19880</v>
      </c>
      <c r="H85" s="476">
        <v>21520</v>
      </c>
      <c r="I85" s="476"/>
      <c r="J85" s="476"/>
      <c r="K85" s="192">
        <v>19880</v>
      </c>
      <c r="L85" s="214">
        <v>19880</v>
      </c>
      <c r="M85" s="191">
        <v>-1640</v>
      </c>
    </row>
    <row r="86" spans="1:13">
      <c r="A86" s="471" t="s">
        <v>460</v>
      </c>
      <c r="B86" s="471"/>
      <c r="C86" s="471"/>
      <c r="D86" s="472">
        <v>28800</v>
      </c>
      <c r="E86" s="472"/>
      <c r="F86" s="472"/>
      <c r="G86" s="189">
        <v>19336.490000000002</v>
      </c>
      <c r="H86" s="473">
        <v>19336.490000000002</v>
      </c>
      <c r="I86" s="473"/>
      <c r="J86" s="473"/>
      <c r="K86" s="190">
        <v>19336.490000000002</v>
      </c>
      <c r="L86" s="214">
        <v>19336.490000000002</v>
      </c>
      <c r="M86" s="189">
        <v>0</v>
      </c>
    </row>
    <row r="87" spans="1:13">
      <c r="A87" s="474" t="s">
        <v>450</v>
      </c>
      <c r="B87" s="474"/>
      <c r="C87" s="474"/>
      <c r="D87" s="475">
        <v>0</v>
      </c>
      <c r="E87" s="475"/>
      <c r="F87" s="475"/>
      <c r="G87" s="191">
        <v>3575</v>
      </c>
      <c r="H87" s="476">
        <v>3575</v>
      </c>
      <c r="I87" s="476"/>
      <c r="J87" s="476"/>
      <c r="K87" s="192">
        <v>3575</v>
      </c>
      <c r="L87" s="214">
        <v>3575</v>
      </c>
      <c r="M87" s="191">
        <v>0</v>
      </c>
    </row>
    <row r="88" spans="1:13">
      <c r="A88" s="471" t="s">
        <v>461</v>
      </c>
      <c r="B88" s="471"/>
      <c r="C88" s="471"/>
      <c r="D88" s="472">
        <v>0</v>
      </c>
      <c r="E88" s="472"/>
      <c r="F88" s="472"/>
      <c r="G88" s="189">
        <v>3575</v>
      </c>
      <c r="H88" s="473">
        <v>3575</v>
      </c>
      <c r="I88" s="473"/>
      <c r="J88" s="473"/>
      <c r="K88" s="190">
        <v>3575</v>
      </c>
      <c r="L88" s="214">
        <v>3575</v>
      </c>
      <c r="M88" s="189">
        <v>0</v>
      </c>
    </row>
    <row r="89" spans="1:13">
      <c r="A89" s="474" t="s">
        <v>462</v>
      </c>
      <c r="B89" s="474"/>
      <c r="C89" s="474"/>
      <c r="D89" s="475">
        <v>528267.31000000006</v>
      </c>
      <c r="E89" s="475"/>
      <c r="F89" s="475"/>
      <c r="G89" s="191">
        <v>409862.34</v>
      </c>
      <c r="H89" s="476">
        <v>259590.02</v>
      </c>
      <c r="I89" s="476"/>
      <c r="J89" s="476"/>
      <c r="K89" s="192">
        <v>259590.02</v>
      </c>
      <c r="L89" s="214">
        <v>241359.71</v>
      </c>
      <c r="M89" s="191">
        <v>150272.32000000001</v>
      </c>
    </row>
    <row r="90" spans="1:13">
      <c r="A90" s="471" t="s">
        <v>463</v>
      </c>
      <c r="B90" s="471"/>
      <c r="C90" s="471"/>
      <c r="D90" s="472">
        <v>58000</v>
      </c>
      <c r="E90" s="472"/>
      <c r="F90" s="472"/>
      <c r="G90" s="189">
        <v>85361</v>
      </c>
      <c r="H90" s="473">
        <v>84921.1</v>
      </c>
      <c r="I90" s="473"/>
      <c r="J90" s="473"/>
      <c r="K90" s="190">
        <v>84921.1</v>
      </c>
      <c r="L90" s="214">
        <v>75763.199999999997</v>
      </c>
      <c r="M90" s="189">
        <v>439.9</v>
      </c>
    </row>
    <row r="91" spans="1:13">
      <c r="A91" s="474" t="s">
        <v>464</v>
      </c>
      <c r="B91" s="474"/>
      <c r="C91" s="474"/>
      <c r="D91" s="475">
        <v>52000</v>
      </c>
      <c r="E91" s="475"/>
      <c r="F91" s="475"/>
      <c r="G91" s="191">
        <v>60361</v>
      </c>
      <c r="H91" s="476">
        <v>59921.1</v>
      </c>
      <c r="I91" s="476"/>
      <c r="J91" s="476"/>
      <c r="K91" s="192">
        <v>59921.1</v>
      </c>
      <c r="L91" s="214">
        <v>54763.199999999997</v>
      </c>
      <c r="M91" s="191">
        <v>439.9</v>
      </c>
    </row>
    <row r="92" spans="1:13">
      <c r="A92" s="471" t="s">
        <v>465</v>
      </c>
      <c r="B92" s="471"/>
      <c r="C92" s="471"/>
      <c r="D92" s="472">
        <v>6000</v>
      </c>
      <c r="E92" s="472"/>
      <c r="F92" s="472"/>
      <c r="G92" s="189">
        <v>25000</v>
      </c>
      <c r="H92" s="473">
        <v>25000</v>
      </c>
      <c r="I92" s="473"/>
      <c r="J92" s="473"/>
      <c r="K92" s="190">
        <v>25000</v>
      </c>
      <c r="L92" s="214">
        <v>21000</v>
      </c>
      <c r="M92" s="189">
        <v>0</v>
      </c>
    </row>
    <row r="93" spans="1:13">
      <c r="A93" s="474" t="s">
        <v>466</v>
      </c>
      <c r="B93" s="474"/>
      <c r="C93" s="474"/>
      <c r="D93" s="475">
        <v>3000</v>
      </c>
      <c r="E93" s="475"/>
      <c r="F93" s="475"/>
      <c r="G93" s="191">
        <v>2400</v>
      </c>
      <c r="H93" s="476">
        <v>1222.48</v>
      </c>
      <c r="I93" s="476"/>
      <c r="J93" s="476"/>
      <c r="K93" s="192">
        <v>1222.48</v>
      </c>
      <c r="L93" s="214">
        <v>1222.48</v>
      </c>
      <c r="M93" s="191">
        <v>1177.52</v>
      </c>
    </row>
    <row r="94" spans="1:13">
      <c r="A94" s="471" t="s">
        <v>467</v>
      </c>
      <c r="B94" s="471"/>
      <c r="C94" s="471"/>
      <c r="D94" s="472">
        <v>3000</v>
      </c>
      <c r="E94" s="472"/>
      <c r="F94" s="472"/>
      <c r="G94" s="189">
        <v>2400</v>
      </c>
      <c r="H94" s="473">
        <v>1222.48</v>
      </c>
      <c r="I94" s="473"/>
      <c r="J94" s="473"/>
      <c r="K94" s="190">
        <v>1222.48</v>
      </c>
      <c r="L94" s="214">
        <v>1222.48</v>
      </c>
      <c r="M94" s="189">
        <v>1177.52</v>
      </c>
    </row>
    <row r="95" spans="1:13">
      <c r="A95" s="474" t="s">
        <v>468</v>
      </c>
      <c r="B95" s="474"/>
      <c r="C95" s="474"/>
      <c r="D95" s="475">
        <v>461467.31</v>
      </c>
      <c r="E95" s="475"/>
      <c r="F95" s="475"/>
      <c r="G95" s="191">
        <v>315307.06</v>
      </c>
      <c r="H95" s="476">
        <v>166652.16</v>
      </c>
      <c r="I95" s="476"/>
      <c r="J95" s="476"/>
      <c r="K95" s="192">
        <v>166652.16</v>
      </c>
      <c r="L95" s="214">
        <v>157579.75</v>
      </c>
      <c r="M95" s="191">
        <v>148654.9</v>
      </c>
    </row>
    <row r="96" spans="1:13">
      <c r="A96" s="471" t="s">
        <v>469</v>
      </c>
      <c r="B96" s="471"/>
      <c r="C96" s="471"/>
      <c r="D96" s="472">
        <v>2800</v>
      </c>
      <c r="E96" s="472"/>
      <c r="F96" s="472"/>
      <c r="G96" s="189">
        <v>0</v>
      </c>
      <c r="H96" s="473">
        <v>0</v>
      </c>
      <c r="I96" s="473"/>
      <c r="J96" s="473"/>
      <c r="K96" s="190">
        <v>0</v>
      </c>
      <c r="L96" s="214">
        <v>0</v>
      </c>
      <c r="M96" s="189">
        <v>0</v>
      </c>
    </row>
    <row r="97" spans="1:13">
      <c r="A97" s="474" t="s">
        <v>470</v>
      </c>
      <c r="B97" s="474"/>
      <c r="C97" s="474"/>
      <c r="D97" s="475">
        <v>9700</v>
      </c>
      <c r="E97" s="475"/>
      <c r="F97" s="475"/>
      <c r="G97" s="191">
        <v>35182</v>
      </c>
      <c r="H97" s="476">
        <v>35182</v>
      </c>
      <c r="I97" s="476"/>
      <c r="J97" s="476"/>
      <c r="K97" s="192">
        <v>35182</v>
      </c>
      <c r="L97" s="214">
        <v>35182</v>
      </c>
      <c r="M97" s="191">
        <v>0</v>
      </c>
    </row>
    <row r="98" spans="1:13">
      <c r="A98" s="471" t="s">
        <v>471</v>
      </c>
      <c r="B98" s="471"/>
      <c r="C98" s="471"/>
      <c r="D98" s="472">
        <v>1200</v>
      </c>
      <c r="E98" s="472"/>
      <c r="F98" s="472"/>
      <c r="G98" s="189">
        <v>1902.56</v>
      </c>
      <c r="H98" s="473">
        <v>1800.31</v>
      </c>
      <c r="I98" s="473"/>
      <c r="J98" s="473"/>
      <c r="K98" s="190">
        <v>1800.31</v>
      </c>
      <c r="L98" s="214">
        <v>1668.58</v>
      </c>
      <c r="M98" s="189">
        <v>102.25</v>
      </c>
    </row>
    <row r="99" spans="1:13">
      <c r="A99" s="474" t="s">
        <v>472</v>
      </c>
      <c r="B99" s="474"/>
      <c r="C99" s="474"/>
      <c r="D99" s="475">
        <v>57132.31</v>
      </c>
      <c r="E99" s="475"/>
      <c r="F99" s="475"/>
      <c r="G99" s="191">
        <v>33554.61</v>
      </c>
      <c r="H99" s="476">
        <v>5012.28</v>
      </c>
      <c r="I99" s="476"/>
      <c r="J99" s="476"/>
      <c r="K99" s="192">
        <v>5012.28</v>
      </c>
      <c r="L99" s="214">
        <v>5012.28</v>
      </c>
      <c r="M99" s="191">
        <v>28542.33</v>
      </c>
    </row>
    <row r="100" spans="1:13">
      <c r="A100" s="471" t="s">
        <v>473</v>
      </c>
      <c r="B100" s="471"/>
      <c r="C100" s="471"/>
      <c r="D100" s="472">
        <v>1200</v>
      </c>
      <c r="E100" s="472"/>
      <c r="F100" s="472"/>
      <c r="G100" s="189">
        <v>1200</v>
      </c>
      <c r="H100" s="473">
        <v>0</v>
      </c>
      <c r="I100" s="473"/>
      <c r="J100" s="473"/>
      <c r="K100" s="190">
        <v>0</v>
      </c>
      <c r="L100" s="214">
        <v>0</v>
      </c>
      <c r="M100" s="189">
        <v>1200</v>
      </c>
    </row>
    <row r="101" spans="1:13">
      <c r="A101" s="474" t="s">
        <v>474</v>
      </c>
      <c r="B101" s="474"/>
      <c r="C101" s="474"/>
      <c r="D101" s="475">
        <v>90000</v>
      </c>
      <c r="E101" s="475"/>
      <c r="F101" s="475"/>
      <c r="G101" s="191">
        <v>90000</v>
      </c>
      <c r="H101" s="476">
        <v>72000</v>
      </c>
      <c r="I101" s="476"/>
      <c r="J101" s="476"/>
      <c r="K101" s="192">
        <v>72000</v>
      </c>
      <c r="L101" s="214">
        <v>66000</v>
      </c>
      <c r="M101" s="191">
        <v>18000</v>
      </c>
    </row>
    <row r="102" spans="1:13">
      <c r="A102" s="471" t="s">
        <v>475</v>
      </c>
      <c r="B102" s="471"/>
      <c r="C102" s="471"/>
      <c r="D102" s="472">
        <v>27060</v>
      </c>
      <c r="E102" s="472"/>
      <c r="F102" s="472"/>
      <c r="G102" s="189">
        <v>550</v>
      </c>
      <c r="H102" s="473">
        <v>550</v>
      </c>
      <c r="I102" s="473"/>
      <c r="J102" s="473"/>
      <c r="K102" s="190">
        <v>550</v>
      </c>
      <c r="L102" s="214">
        <v>550</v>
      </c>
      <c r="M102" s="189">
        <v>0</v>
      </c>
    </row>
    <row r="103" spans="1:13">
      <c r="A103" s="474" t="s">
        <v>476</v>
      </c>
      <c r="B103" s="474"/>
      <c r="C103" s="474"/>
      <c r="D103" s="475">
        <v>6000</v>
      </c>
      <c r="E103" s="475"/>
      <c r="F103" s="475"/>
      <c r="G103" s="191">
        <v>8103.91</v>
      </c>
      <c r="H103" s="476">
        <v>8103.91</v>
      </c>
      <c r="I103" s="476"/>
      <c r="J103" s="476"/>
      <c r="K103" s="192">
        <v>8103.91</v>
      </c>
      <c r="L103" s="214">
        <v>8103.91</v>
      </c>
      <c r="M103" s="191">
        <v>0</v>
      </c>
    </row>
    <row r="104" spans="1:13">
      <c r="A104" s="471" t="s">
        <v>477</v>
      </c>
      <c r="B104" s="471"/>
      <c r="C104" s="471"/>
      <c r="D104" s="472">
        <v>4800</v>
      </c>
      <c r="E104" s="472"/>
      <c r="F104" s="472"/>
      <c r="G104" s="189">
        <v>1993.53</v>
      </c>
      <c r="H104" s="473">
        <v>856.65</v>
      </c>
      <c r="I104" s="473"/>
      <c r="J104" s="473"/>
      <c r="K104" s="190">
        <v>856.65</v>
      </c>
      <c r="L104" s="214">
        <v>856.65</v>
      </c>
      <c r="M104" s="189">
        <v>1136.8800000000001</v>
      </c>
    </row>
    <row r="105" spans="1:13">
      <c r="A105" s="474" t="s">
        <v>478</v>
      </c>
      <c r="B105" s="474"/>
      <c r="C105" s="474"/>
      <c r="D105" s="475">
        <v>4000</v>
      </c>
      <c r="E105" s="475"/>
      <c r="F105" s="475"/>
      <c r="G105" s="191">
        <v>4530.3999999999996</v>
      </c>
      <c r="H105" s="476">
        <v>4341.47</v>
      </c>
      <c r="I105" s="476"/>
      <c r="J105" s="476"/>
      <c r="K105" s="192">
        <v>4341.47</v>
      </c>
      <c r="L105" s="214">
        <v>4341.47</v>
      </c>
      <c r="M105" s="191">
        <v>188.93</v>
      </c>
    </row>
    <row r="106" spans="1:13">
      <c r="A106" s="471" t="s">
        <v>479</v>
      </c>
      <c r="B106" s="471"/>
      <c r="C106" s="471"/>
      <c r="D106" s="472">
        <v>4000</v>
      </c>
      <c r="E106" s="472"/>
      <c r="F106" s="472"/>
      <c r="G106" s="189">
        <v>4000</v>
      </c>
      <c r="H106" s="473">
        <v>0</v>
      </c>
      <c r="I106" s="473"/>
      <c r="J106" s="473"/>
      <c r="K106" s="190">
        <v>0</v>
      </c>
      <c r="L106" s="214">
        <v>0</v>
      </c>
      <c r="M106" s="189">
        <v>4000</v>
      </c>
    </row>
    <row r="107" spans="1:13">
      <c r="A107" s="474" t="s">
        <v>480</v>
      </c>
      <c r="B107" s="474"/>
      <c r="C107" s="474"/>
      <c r="D107" s="475">
        <v>5000</v>
      </c>
      <c r="E107" s="475"/>
      <c r="F107" s="475"/>
      <c r="G107" s="191">
        <v>0</v>
      </c>
      <c r="H107" s="476">
        <v>0</v>
      </c>
      <c r="I107" s="476"/>
      <c r="J107" s="476"/>
      <c r="K107" s="192">
        <v>0</v>
      </c>
      <c r="L107" s="214">
        <v>0</v>
      </c>
      <c r="M107" s="191">
        <v>0</v>
      </c>
    </row>
    <row r="108" spans="1:13">
      <c r="A108" s="471" t="s">
        <v>481</v>
      </c>
      <c r="B108" s="471"/>
      <c r="C108" s="471"/>
      <c r="D108" s="472">
        <v>13480</v>
      </c>
      <c r="E108" s="472"/>
      <c r="F108" s="472"/>
      <c r="G108" s="189">
        <v>13382.4</v>
      </c>
      <c r="H108" s="473">
        <v>7641.94</v>
      </c>
      <c r="I108" s="473"/>
      <c r="J108" s="473"/>
      <c r="K108" s="190">
        <v>7641.94</v>
      </c>
      <c r="L108" s="214">
        <v>7451.95</v>
      </c>
      <c r="M108" s="189">
        <v>5740.46</v>
      </c>
    </row>
    <row r="109" spans="1:13">
      <c r="A109" s="474" t="s">
        <v>482</v>
      </c>
      <c r="B109" s="474"/>
      <c r="C109" s="474"/>
      <c r="D109" s="475">
        <v>0</v>
      </c>
      <c r="E109" s="475"/>
      <c r="F109" s="475"/>
      <c r="G109" s="191">
        <v>13603.66</v>
      </c>
      <c r="H109" s="476">
        <v>13198.44</v>
      </c>
      <c r="I109" s="476"/>
      <c r="J109" s="476"/>
      <c r="K109" s="192">
        <v>13198.44</v>
      </c>
      <c r="L109" s="214">
        <v>11199.94</v>
      </c>
      <c r="M109" s="191">
        <v>405.22</v>
      </c>
    </row>
    <row r="110" spans="1:13">
      <c r="A110" s="471" t="s">
        <v>483</v>
      </c>
      <c r="B110" s="471"/>
      <c r="C110" s="471"/>
      <c r="D110" s="472">
        <v>10000</v>
      </c>
      <c r="E110" s="472"/>
      <c r="F110" s="472"/>
      <c r="G110" s="189">
        <v>10201.26</v>
      </c>
      <c r="H110" s="473">
        <v>10158.74</v>
      </c>
      <c r="I110" s="473"/>
      <c r="J110" s="473"/>
      <c r="K110" s="190">
        <v>10158.74</v>
      </c>
      <c r="L110" s="214">
        <v>9406.5499999999993</v>
      </c>
      <c r="M110" s="189">
        <v>42.52</v>
      </c>
    </row>
    <row r="111" spans="1:13">
      <c r="A111" s="474" t="s">
        <v>484</v>
      </c>
      <c r="B111" s="474"/>
      <c r="C111" s="474"/>
      <c r="D111" s="475">
        <v>16800</v>
      </c>
      <c r="E111" s="475"/>
      <c r="F111" s="475"/>
      <c r="G111" s="191">
        <v>12137.17</v>
      </c>
      <c r="H111" s="476">
        <v>7687.96</v>
      </c>
      <c r="I111" s="476"/>
      <c r="J111" s="476"/>
      <c r="K111" s="192">
        <v>7687.96</v>
      </c>
      <c r="L111" s="214">
        <v>7687.96</v>
      </c>
      <c r="M111" s="191">
        <v>4449.21</v>
      </c>
    </row>
    <row r="112" spans="1:13">
      <c r="A112" s="471" t="s">
        <v>485</v>
      </c>
      <c r="B112" s="471"/>
      <c r="C112" s="471"/>
      <c r="D112" s="472">
        <v>208295</v>
      </c>
      <c r="E112" s="472"/>
      <c r="F112" s="472"/>
      <c r="G112" s="189">
        <v>84965.56</v>
      </c>
      <c r="H112" s="473">
        <v>118.46</v>
      </c>
      <c r="I112" s="473"/>
      <c r="J112" s="473"/>
      <c r="K112" s="190">
        <v>118.46</v>
      </c>
      <c r="L112" s="214">
        <v>118.46</v>
      </c>
      <c r="M112" s="189">
        <v>84847.1</v>
      </c>
    </row>
    <row r="113" spans="1:13">
      <c r="A113" s="474" t="s">
        <v>486</v>
      </c>
      <c r="B113" s="474"/>
      <c r="C113" s="474"/>
      <c r="D113" s="475">
        <v>5800</v>
      </c>
      <c r="E113" s="475"/>
      <c r="F113" s="475"/>
      <c r="G113" s="191">
        <v>6794.28</v>
      </c>
      <c r="H113" s="476">
        <v>6794.28</v>
      </c>
      <c r="I113" s="476"/>
      <c r="J113" s="476"/>
      <c r="K113" s="192">
        <v>6794.28</v>
      </c>
      <c r="L113" s="214">
        <v>6794.28</v>
      </c>
      <c r="M113" s="191">
        <v>0</v>
      </c>
    </row>
    <row r="114" spans="1:13">
      <c r="A114" s="471" t="s">
        <v>461</v>
      </c>
      <c r="B114" s="471"/>
      <c r="C114" s="471"/>
      <c r="D114" s="472">
        <v>0</v>
      </c>
      <c r="E114" s="472"/>
      <c r="F114" s="472"/>
      <c r="G114" s="189">
        <v>6794.28</v>
      </c>
      <c r="H114" s="473">
        <v>6794.28</v>
      </c>
      <c r="I114" s="473"/>
      <c r="J114" s="473"/>
      <c r="K114" s="190">
        <v>6794.28</v>
      </c>
      <c r="L114" s="214">
        <v>6794.28</v>
      </c>
      <c r="M114" s="189">
        <v>0</v>
      </c>
    </row>
    <row r="115" spans="1:13">
      <c r="A115" s="474" t="s">
        <v>451</v>
      </c>
      <c r="B115" s="474"/>
      <c r="C115" s="474"/>
      <c r="D115" s="475">
        <v>5800</v>
      </c>
      <c r="E115" s="475"/>
      <c r="F115" s="475"/>
      <c r="G115" s="191">
        <v>0</v>
      </c>
      <c r="H115" s="476">
        <v>0</v>
      </c>
      <c r="I115" s="476"/>
      <c r="J115" s="476"/>
      <c r="K115" s="192">
        <v>0</v>
      </c>
      <c r="L115" s="214">
        <v>0</v>
      </c>
      <c r="M115" s="191">
        <v>0</v>
      </c>
    </row>
    <row r="116" spans="1:13">
      <c r="A116" s="471" t="s">
        <v>487</v>
      </c>
      <c r="B116" s="471"/>
      <c r="C116" s="471"/>
      <c r="D116" s="472">
        <v>42000</v>
      </c>
      <c r="E116" s="472"/>
      <c r="F116" s="472"/>
      <c r="G116" s="189">
        <v>47013.8</v>
      </c>
      <c r="H116" s="473">
        <v>43687.75</v>
      </c>
      <c r="I116" s="473"/>
      <c r="J116" s="473"/>
      <c r="K116" s="190">
        <v>45327.75</v>
      </c>
      <c r="L116" s="214">
        <v>45327.75</v>
      </c>
      <c r="M116" s="189">
        <v>3326.05</v>
      </c>
    </row>
    <row r="117" spans="1:13">
      <c r="A117" s="474" t="s">
        <v>487</v>
      </c>
      <c r="B117" s="474"/>
      <c r="C117" s="474"/>
      <c r="D117" s="475">
        <v>42000</v>
      </c>
      <c r="E117" s="475"/>
      <c r="F117" s="475"/>
      <c r="G117" s="191">
        <v>47013.8</v>
      </c>
      <c r="H117" s="476">
        <v>43687.75</v>
      </c>
      <c r="I117" s="476"/>
      <c r="J117" s="476"/>
      <c r="K117" s="192">
        <v>45327.75</v>
      </c>
      <c r="L117" s="214">
        <v>45327.75</v>
      </c>
      <c r="M117" s="191">
        <v>3326.05</v>
      </c>
    </row>
    <row r="118" spans="1:13">
      <c r="A118" s="471" t="s">
        <v>488</v>
      </c>
      <c r="B118" s="471"/>
      <c r="C118" s="471"/>
      <c r="D118" s="472">
        <v>0</v>
      </c>
      <c r="E118" s="472"/>
      <c r="F118" s="472"/>
      <c r="G118" s="189">
        <v>1014.21</v>
      </c>
      <c r="H118" s="473">
        <v>1014.21</v>
      </c>
      <c r="I118" s="473"/>
      <c r="J118" s="473"/>
      <c r="K118" s="190">
        <v>1014.21</v>
      </c>
      <c r="L118" s="214">
        <v>1014.21</v>
      </c>
      <c r="M118" s="189">
        <v>0</v>
      </c>
    </row>
    <row r="119" spans="1:13">
      <c r="A119" s="474" t="s">
        <v>489</v>
      </c>
      <c r="B119" s="474"/>
      <c r="C119" s="474"/>
      <c r="D119" s="475">
        <v>15000</v>
      </c>
      <c r="E119" s="475"/>
      <c r="F119" s="475"/>
      <c r="G119" s="191">
        <v>15000</v>
      </c>
      <c r="H119" s="476">
        <v>13358.26</v>
      </c>
      <c r="I119" s="476"/>
      <c r="J119" s="476"/>
      <c r="K119" s="192">
        <v>13358.26</v>
      </c>
      <c r="L119" s="214">
        <v>13358.26</v>
      </c>
      <c r="M119" s="191">
        <v>1641.74</v>
      </c>
    </row>
    <row r="120" spans="1:13">
      <c r="A120" s="471" t="s">
        <v>490</v>
      </c>
      <c r="B120" s="471"/>
      <c r="C120" s="471"/>
      <c r="D120" s="472">
        <v>27000</v>
      </c>
      <c r="E120" s="472"/>
      <c r="F120" s="472"/>
      <c r="G120" s="189">
        <v>30999.59</v>
      </c>
      <c r="H120" s="473">
        <v>29315.279999999999</v>
      </c>
      <c r="I120" s="473"/>
      <c r="J120" s="473"/>
      <c r="K120" s="190">
        <v>30955.279999999999</v>
      </c>
      <c r="L120" s="214">
        <v>30955.279999999999</v>
      </c>
      <c r="M120" s="189">
        <v>1684.31</v>
      </c>
    </row>
    <row r="121" spans="1:13">
      <c r="A121" s="474" t="s">
        <v>491</v>
      </c>
      <c r="B121" s="474"/>
      <c r="C121" s="474"/>
      <c r="D121" s="475">
        <v>93147.11</v>
      </c>
      <c r="E121" s="475"/>
      <c r="F121" s="475"/>
      <c r="G121" s="191">
        <v>110370.2</v>
      </c>
      <c r="H121" s="476">
        <v>110036.68</v>
      </c>
      <c r="I121" s="476"/>
      <c r="J121" s="476"/>
      <c r="K121" s="192">
        <v>110036.68</v>
      </c>
      <c r="L121" s="214">
        <v>110036.68</v>
      </c>
      <c r="M121" s="191">
        <v>333.52</v>
      </c>
    </row>
    <row r="122" spans="1:13">
      <c r="A122" s="471" t="s">
        <v>492</v>
      </c>
      <c r="B122" s="471"/>
      <c r="C122" s="471"/>
      <c r="D122" s="472">
        <v>26671.66</v>
      </c>
      <c r="E122" s="472"/>
      <c r="F122" s="472"/>
      <c r="G122" s="189">
        <v>22540.66</v>
      </c>
      <c r="H122" s="473">
        <v>22540.66</v>
      </c>
      <c r="I122" s="473"/>
      <c r="J122" s="473"/>
      <c r="K122" s="190">
        <v>22540.66</v>
      </c>
      <c r="L122" s="214">
        <v>22540.66</v>
      </c>
      <c r="M122" s="189">
        <v>0</v>
      </c>
    </row>
    <row r="123" spans="1:13">
      <c r="A123" s="474" t="s">
        <v>493</v>
      </c>
      <c r="B123" s="474"/>
      <c r="C123" s="474"/>
      <c r="D123" s="475">
        <v>26671.66</v>
      </c>
      <c r="E123" s="475"/>
      <c r="F123" s="475"/>
      <c r="G123" s="191">
        <v>22540.66</v>
      </c>
      <c r="H123" s="476">
        <v>22540.66</v>
      </c>
      <c r="I123" s="476"/>
      <c r="J123" s="476"/>
      <c r="K123" s="192">
        <v>22540.66</v>
      </c>
      <c r="L123" s="214">
        <v>22540.66</v>
      </c>
      <c r="M123" s="191">
        <v>0</v>
      </c>
    </row>
    <row r="124" spans="1:13">
      <c r="A124" s="471" t="s">
        <v>494</v>
      </c>
      <c r="B124" s="471"/>
      <c r="C124" s="471"/>
      <c r="D124" s="472">
        <v>66475.45</v>
      </c>
      <c r="E124" s="472"/>
      <c r="F124" s="472"/>
      <c r="G124" s="189">
        <v>87829.54</v>
      </c>
      <c r="H124" s="473">
        <v>87496.02</v>
      </c>
      <c r="I124" s="473"/>
      <c r="J124" s="473"/>
      <c r="K124" s="190">
        <v>87496.02</v>
      </c>
      <c r="L124" s="214">
        <v>87496.02</v>
      </c>
      <c r="M124" s="189">
        <v>333.52</v>
      </c>
    </row>
    <row r="125" spans="1:13">
      <c r="A125" s="474" t="s">
        <v>495</v>
      </c>
      <c r="B125" s="474"/>
      <c r="C125" s="474"/>
      <c r="D125" s="475">
        <v>66475.45</v>
      </c>
      <c r="E125" s="475"/>
      <c r="F125" s="475"/>
      <c r="G125" s="191">
        <v>87829.54</v>
      </c>
      <c r="H125" s="476">
        <v>87496.02</v>
      </c>
      <c r="I125" s="476"/>
      <c r="J125" s="476"/>
      <c r="K125" s="192">
        <v>87496.02</v>
      </c>
      <c r="L125" s="214">
        <v>87496.02</v>
      </c>
      <c r="M125" s="191">
        <v>333.52</v>
      </c>
    </row>
    <row r="126" spans="1:13">
      <c r="A126" s="471" t="s">
        <v>496</v>
      </c>
      <c r="B126" s="471"/>
      <c r="C126" s="471"/>
      <c r="D126" s="472">
        <v>0</v>
      </c>
      <c r="E126" s="472"/>
      <c r="F126" s="472"/>
      <c r="G126" s="189">
        <v>39317</v>
      </c>
      <c r="H126" s="473">
        <v>39317</v>
      </c>
      <c r="I126" s="473"/>
      <c r="J126" s="473"/>
      <c r="K126" s="190">
        <v>39317</v>
      </c>
      <c r="L126" s="214">
        <v>39317</v>
      </c>
      <c r="M126" s="189">
        <v>0</v>
      </c>
    </row>
    <row r="127" spans="1:13">
      <c r="A127" s="474" t="s">
        <v>497</v>
      </c>
      <c r="B127" s="474"/>
      <c r="C127" s="474"/>
      <c r="D127" s="475">
        <v>0</v>
      </c>
      <c r="E127" s="475"/>
      <c r="F127" s="475"/>
      <c r="G127" s="191">
        <v>27117</v>
      </c>
      <c r="H127" s="476">
        <v>27117</v>
      </c>
      <c r="I127" s="476"/>
      <c r="J127" s="476"/>
      <c r="K127" s="192">
        <v>27117</v>
      </c>
      <c r="L127" s="214">
        <v>27117</v>
      </c>
      <c r="M127" s="191">
        <v>0</v>
      </c>
    </row>
    <row r="128" spans="1:13">
      <c r="A128" s="471" t="s">
        <v>498</v>
      </c>
      <c r="B128" s="471"/>
      <c r="C128" s="471"/>
      <c r="D128" s="472">
        <v>0</v>
      </c>
      <c r="E128" s="472"/>
      <c r="F128" s="472"/>
      <c r="G128" s="189">
        <v>27117</v>
      </c>
      <c r="H128" s="473">
        <v>27117</v>
      </c>
      <c r="I128" s="473"/>
      <c r="J128" s="473"/>
      <c r="K128" s="190">
        <v>27117</v>
      </c>
      <c r="L128" s="214">
        <v>27117</v>
      </c>
      <c r="M128" s="189">
        <v>0</v>
      </c>
    </row>
    <row r="129" spans="1:13">
      <c r="A129" s="474" t="s">
        <v>499</v>
      </c>
      <c r="B129" s="474"/>
      <c r="C129" s="474"/>
      <c r="D129" s="475">
        <v>0</v>
      </c>
      <c r="E129" s="475"/>
      <c r="F129" s="475"/>
      <c r="G129" s="191">
        <v>27117</v>
      </c>
      <c r="H129" s="476">
        <v>27117</v>
      </c>
      <c r="I129" s="476"/>
      <c r="J129" s="476"/>
      <c r="K129" s="192">
        <v>27117</v>
      </c>
      <c r="L129" s="214">
        <v>27117</v>
      </c>
      <c r="M129" s="191">
        <v>0</v>
      </c>
    </row>
    <row r="130" spans="1:13">
      <c r="A130" s="471" t="s">
        <v>500</v>
      </c>
      <c r="B130" s="471"/>
      <c r="C130" s="471"/>
      <c r="D130" s="472">
        <v>0</v>
      </c>
      <c r="E130" s="472"/>
      <c r="F130" s="472"/>
      <c r="G130" s="189">
        <v>12200</v>
      </c>
      <c r="H130" s="473">
        <v>12200</v>
      </c>
      <c r="I130" s="473"/>
      <c r="J130" s="473"/>
      <c r="K130" s="190">
        <v>12200</v>
      </c>
      <c r="L130" s="214">
        <v>12200</v>
      </c>
      <c r="M130" s="189">
        <v>0</v>
      </c>
    </row>
    <row r="131" spans="1:13">
      <c r="A131" s="474" t="s">
        <v>498</v>
      </c>
      <c r="B131" s="474"/>
      <c r="C131" s="474"/>
      <c r="D131" s="475">
        <v>0</v>
      </c>
      <c r="E131" s="475"/>
      <c r="F131" s="475"/>
      <c r="G131" s="191">
        <v>12200</v>
      </c>
      <c r="H131" s="476">
        <v>12200</v>
      </c>
      <c r="I131" s="476"/>
      <c r="J131" s="476"/>
      <c r="K131" s="192">
        <v>12200</v>
      </c>
      <c r="L131" s="214">
        <v>12200</v>
      </c>
      <c r="M131" s="191">
        <v>0</v>
      </c>
    </row>
    <row r="132" spans="1:13">
      <c r="A132" s="471" t="s">
        <v>501</v>
      </c>
      <c r="B132" s="471"/>
      <c r="C132" s="471"/>
      <c r="D132" s="472">
        <v>0</v>
      </c>
      <c r="E132" s="472"/>
      <c r="F132" s="472"/>
      <c r="G132" s="189">
        <v>12200</v>
      </c>
      <c r="H132" s="473">
        <v>12200</v>
      </c>
      <c r="I132" s="473"/>
      <c r="J132" s="473"/>
      <c r="K132" s="190">
        <v>12200</v>
      </c>
      <c r="L132" s="214">
        <v>12200</v>
      </c>
      <c r="M132" s="189">
        <v>0</v>
      </c>
    </row>
    <row r="133" spans="1:13">
      <c r="A133" s="468" t="s">
        <v>502</v>
      </c>
      <c r="B133" s="468"/>
      <c r="C133" s="468"/>
      <c r="D133" s="469">
        <v>1366411.42</v>
      </c>
      <c r="E133" s="469"/>
      <c r="F133" s="469"/>
      <c r="G133" s="193">
        <v>1331175.25</v>
      </c>
      <c r="H133" s="470">
        <v>1165787.2</v>
      </c>
      <c r="I133" s="470"/>
      <c r="J133" s="470"/>
      <c r="K133" s="194">
        <v>1165787.2</v>
      </c>
      <c r="L133" s="215">
        <v>1133856.73</v>
      </c>
      <c r="M133" s="193">
        <v>165388.04999999999</v>
      </c>
    </row>
    <row r="134" spans="1:13">
      <c r="A134" s="465" t="s">
        <v>503</v>
      </c>
      <c r="B134" s="465"/>
      <c r="C134" s="465"/>
      <c r="D134" s="466">
        <v>0</v>
      </c>
      <c r="E134" s="466"/>
      <c r="F134" s="466"/>
      <c r="G134" s="195">
        <v>0</v>
      </c>
      <c r="H134" s="467">
        <v>449784.08</v>
      </c>
      <c r="I134" s="467"/>
      <c r="J134" s="467"/>
      <c r="K134" s="196">
        <v>0</v>
      </c>
      <c r="L134" s="215">
        <v>0</v>
      </c>
      <c r="M134" s="195">
        <v>449784.08</v>
      </c>
    </row>
    <row r="135" spans="1:13">
      <c r="A135" s="468" t="s">
        <v>3</v>
      </c>
      <c r="B135" s="468"/>
      <c r="C135" s="468"/>
      <c r="D135" s="469">
        <v>1366411.42</v>
      </c>
      <c r="E135" s="469"/>
      <c r="F135" s="469"/>
      <c r="G135" s="193">
        <v>1331175.25</v>
      </c>
      <c r="H135" s="470">
        <v>1615571.28</v>
      </c>
      <c r="I135" s="470"/>
      <c r="J135" s="470"/>
      <c r="K135" s="194">
        <v>1165787.2</v>
      </c>
      <c r="L135" s="215">
        <v>1133856.73</v>
      </c>
      <c r="M135" s="193">
        <v>-284396.03000000003</v>
      </c>
    </row>
    <row r="136" spans="1:1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463" t="s">
        <v>504</v>
      </c>
      <c r="M137" s="463"/>
    </row>
    <row r="138" spans="1:13">
      <c r="A138" s="1"/>
      <c r="B138" s="1"/>
      <c r="C138" s="1"/>
      <c r="D138" s="1"/>
      <c r="E138" s="1"/>
      <c r="F138" s="464" t="s">
        <v>505</v>
      </c>
      <c r="G138" s="464"/>
      <c r="H138" s="464"/>
      <c r="I138" s="1"/>
      <c r="J138" s="1"/>
      <c r="K138" s="1"/>
      <c r="L138" s="1"/>
      <c r="M138" s="1"/>
    </row>
    <row r="139" spans="1: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>
      <c r="A140" s="1"/>
      <c r="B140" s="1"/>
      <c r="C140" s="1"/>
      <c r="D140" s="1"/>
      <c r="E140" s="464" t="s">
        <v>505</v>
      </c>
      <c r="F140" s="464"/>
      <c r="G140" s="464"/>
      <c r="H140" s="464"/>
      <c r="I140" s="464"/>
      <c r="J140" s="1"/>
      <c r="K140" s="1"/>
      <c r="L140" s="463" t="s">
        <v>504</v>
      </c>
      <c r="M140" s="463"/>
    </row>
  </sheetData>
  <mergeCells count="364">
    <mergeCell ref="A2:K2"/>
    <mergeCell ref="A3:K3"/>
    <mergeCell ref="A5:C6"/>
    <mergeCell ref="A8:M8"/>
    <mergeCell ref="L9:M9"/>
    <mergeCell ref="A10:M10"/>
    <mergeCell ref="A20:C20"/>
    <mergeCell ref="D20:F20"/>
    <mergeCell ref="H20:J20"/>
    <mergeCell ref="A21:C21"/>
    <mergeCell ref="D21:F21"/>
    <mergeCell ref="H21:J21"/>
    <mergeCell ref="A11:M11"/>
    <mergeCell ref="A13:M13"/>
    <mergeCell ref="A14:C15"/>
    <mergeCell ref="L14:M14"/>
    <mergeCell ref="A17:M17"/>
    <mergeCell ref="A19:M19"/>
    <mergeCell ref="A24:C24"/>
    <mergeCell ref="D24:F24"/>
    <mergeCell ref="H24:J24"/>
    <mergeCell ref="A25:C25"/>
    <mergeCell ref="D25:F25"/>
    <mergeCell ref="H25:J25"/>
    <mergeCell ref="A22:C22"/>
    <mergeCell ref="D22:F22"/>
    <mergeCell ref="H22:J22"/>
    <mergeCell ref="A23:C23"/>
    <mergeCell ref="D23:F23"/>
    <mergeCell ref="H23:J23"/>
    <mergeCell ref="A28:C28"/>
    <mergeCell ref="D28:F28"/>
    <mergeCell ref="H28:J28"/>
    <mergeCell ref="A29:C29"/>
    <mergeCell ref="D29:F29"/>
    <mergeCell ref="H29:J29"/>
    <mergeCell ref="A26:C26"/>
    <mergeCell ref="D26:F26"/>
    <mergeCell ref="H26:J26"/>
    <mergeCell ref="A27:C27"/>
    <mergeCell ref="D27:F27"/>
    <mergeCell ref="H27:J27"/>
    <mergeCell ref="A32:C32"/>
    <mergeCell ref="D32:F32"/>
    <mergeCell ref="H32:J32"/>
    <mergeCell ref="A33:C33"/>
    <mergeCell ref="D33:F33"/>
    <mergeCell ref="H33:J33"/>
    <mergeCell ref="A30:C30"/>
    <mergeCell ref="D30:F30"/>
    <mergeCell ref="H30:J30"/>
    <mergeCell ref="A31:C31"/>
    <mergeCell ref="D31:F31"/>
    <mergeCell ref="H31:J31"/>
    <mergeCell ref="A36:C36"/>
    <mergeCell ref="D36:F36"/>
    <mergeCell ref="H36:J36"/>
    <mergeCell ref="A37:C37"/>
    <mergeCell ref="D37:F37"/>
    <mergeCell ref="H37:J37"/>
    <mergeCell ref="A34:C34"/>
    <mergeCell ref="D34:F34"/>
    <mergeCell ref="H34:J34"/>
    <mergeCell ref="A35:C35"/>
    <mergeCell ref="D35:F35"/>
    <mergeCell ref="H35:J35"/>
    <mergeCell ref="A40:C40"/>
    <mergeCell ref="D40:F40"/>
    <mergeCell ref="H40:J40"/>
    <mergeCell ref="A41:C41"/>
    <mergeCell ref="D41:F41"/>
    <mergeCell ref="H41:J41"/>
    <mergeCell ref="A38:C38"/>
    <mergeCell ref="D38:F38"/>
    <mergeCell ref="H38:J38"/>
    <mergeCell ref="A39:C39"/>
    <mergeCell ref="D39:F39"/>
    <mergeCell ref="H39:J39"/>
    <mergeCell ref="A44:C44"/>
    <mergeCell ref="D44:F44"/>
    <mergeCell ref="H44:J44"/>
    <mergeCell ref="A45:C45"/>
    <mergeCell ref="D45:F45"/>
    <mergeCell ref="H45:J45"/>
    <mergeCell ref="A42:C42"/>
    <mergeCell ref="D42:F42"/>
    <mergeCell ref="H42:J42"/>
    <mergeCell ref="A43:C43"/>
    <mergeCell ref="D43:F43"/>
    <mergeCell ref="H43:J43"/>
    <mergeCell ref="A48:C48"/>
    <mergeCell ref="D48:F48"/>
    <mergeCell ref="H48:J48"/>
    <mergeCell ref="A49:C49"/>
    <mergeCell ref="D49:F49"/>
    <mergeCell ref="H49:J49"/>
    <mergeCell ref="A46:C46"/>
    <mergeCell ref="D46:F46"/>
    <mergeCell ref="H46:J46"/>
    <mergeCell ref="A47:C47"/>
    <mergeCell ref="D47:F47"/>
    <mergeCell ref="H47:J47"/>
    <mergeCell ref="A52:C52"/>
    <mergeCell ref="D52:F52"/>
    <mergeCell ref="H52:J52"/>
    <mergeCell ref="A53:C53"/>
    <mergeCell ref="D53:F53"/>
    <mergeCell ref="H53:J53"/>
    <mergeCell ref="A50:C50"/>
    <mergeCell ref="D50:F50"/>
    <mergeCell ref="H50:J50"/>
    <mergeCell ref="A51:C51"/>
    <mergeCell ref="D51:F51"/>
    <mergeCell ref="H51:J51"/>
    <mergeCell ref="A56:C56"/>
    <mergeCell ref="D56:F56"/>
    <mergeCell ref="H56:J56"/>
    <mergeCell ref="A57:C57"/>
    <mergeCell ref="D57:F57"/>
    <mergeCell ref="H57:J57"/>
    <mergeCell ref="A54:C54"/>
    <mergeCell ref="D54:F54"/>
    <mergeCell ref="H54:J54"/>
    <mergeCell ref="A55:C55"/>
    <mergeCell ref="D55:F55"/>
    <mergeCell ref="H55:J55"/>
    <mergeCell ref="A60:C60"/>
    <mergeCell ref="D60:F60"/>
    <mergeCell ref="H60:J60"/>
    <mergeCell ref="A61:C61"/>
    <mergeCell ref="D61:F61"/>
    <mergeCell ref="H61:J61"/>
    <mergeCell ref="A58:C58"/>
    <mergeCell ref="D58:F58"/>
    <mergeCell ref="H58:J58"/>
    <mergeCell ref="A59:C59"/>
    <mergeCell ref="D59:F59"/>
    <mergeCell ref="H59:J59"/>
    <mergeCell ref="A64:C64"/>
    <mergeCell ref="D64:F64"/>
    <mergeCell ref="H64:J64"/>
    <mergeCell ref="A65:C65"/>
    <mergeCell ref="D65:F65"/>
    <mergeCell ref="H65:J65"/>
    <mergeCell ref="A62:C62"/>
    <mergeCell ref="D62:F62"/>
    <mergeCell ref="H62:J62"/>
    <mergeCell ref="A63:C63"/>
    <mergeCell ref="D63:F63"/>
    <mergeCell ref="H63:J63"/>
    <mergeCell ref="A68:C68"/>
    <mergeCell ref="D68:F68"/>
    <mergeCell ref="H68:J68"/>
    <mergeCell ref="A69:C69"/>
    <mergeCell ref="D69:F69"/>
    <mergeCell ref="H69:J69"/>
    <mergeCell ref="A66:C66"/>
    <mergeCell ref="D66:F66"/>
    <mergeCell ref="H66:J66"/>
    <mergeCell ref="A67:C67"/>
    <mergeCell ref="D67:F67"/>
    <mergeCell ref="H67:J67"/>
    <mergeCell ref="A72:C72"/>
    <mergeCell ref="D72:F72"/>
    <mergeCell ref="H72:J72"/>
    <mergeCell ref="A73:C73"/>
    <mergeCell ref="D73:F73"/>
    <mergeCell ref="H73:J73"/>
    <mergeCell ref="A70:C70"/>
    <mergeCell ref="D70:F70"/>
    <mergeCell ref="H70:J70"/>
    <mergeCell ref="A71:C71"/>
    <mergeCell ref="D71:F71"/>
    <mergeCell ref="H71:J71"/>
    <mergeCell ref="A76:C76"/>
    <mergeCell ref="D76:F76"/>
    <mergeCell ref="H76:J76"/>
    <mergeCell ref="A77:C77"/>
    <mergeCell ref="D77:F77"/>
    <mergeCell ref="H77:J77"/>
    <mergeCell ref="A74:C74"/>
    <mergeCell ref="D74:F74"/>
    <mergeCell ref="H74:J74"/>
    <mergeCell ref="A75:C75"/>
    <mergeCell ref="D75:F75"/>
    <mergeCell ref="H75:J75"/>
    <mergeCell ref="A80:C80"/>
    <mergeCell ref="D80:F80"/>
    <mergeCell ref="H80:J80"/>
    <mergeCell ref="A81:C81"/>
    <mergeCell ref="D81:F81"/>
    <mergeCell ref="H81:J81"/>
    <mergeCell ref="A78:C78"/>
    <mergeCell ref="D78:F78"/>
    <mergeCell ref="H78:J78"/>
    <mergeCell ref="A79:C79"/>
    <mergeCell ref="D79:F79"/>
    <mergeCell ref="H79:J79"/>
    <mergeCell ref="A84:C84"/>
    <mergeCell ref="D84:F84"/>
    <mergeCell ref="H84:J84"/>
    <mergeCell ref="A85:C85"/>
    <mergeCell ref="D85:F85"/>
    <mergeCell ref="H85:J85"/>
    <mergeCell ref="A82:C82"/>
    <mergeCell ref="D82:F82"/>
    <mergeCell ref="H82:J82"/>
    <mergeCell ref="A83:C83"/>
    <mergeCell ref="D83:F83"/>
    <mergeCell ref="H83:J83"/>
    <mergeCell ref="A88:C88"/>
    <mergeCell ref="D88:F88"/>
    <mergeCell ref="H88:J88"/>
    <mergeCell ref="A89:C89"/>
    <mergeCell ref="D89:F89"/>
    <mergeCell ref="H89:J89"/>
    <mergeCell ref="A86:C86"/>
    <mergeCell ref="D86:F86"/>
    <mergeCell ref="H86:J86"/>
    <mergeCell ref="A87:C87"/>
    <mergeCell ref="D87:F87"/>
    <mergeCell ref="H87:J87"/>
    <mergeCell ref="A92:C92"/>
    <mergeCell ref="D92:F92"/>
    <mergeCell ref="H92:J92"/>
    <mergeCell ref="A93:C93"/>
    <mergeCell ref="D93:F93"/>
    <mergeCell ref="H93:J93"/>
    <mergeCell ref="A90:C90"/>
    <mergeCell ref="D90:F90"/>
    <mergeCell ref="H90:J90"/>
    <mergeCell ref="A91:C91"/>
    <mergeCell ref="D91:F91"/>
    <mergeCell ref="H91:J91"/>
    <mergeCell ref="A96:C96"/>
    <mergeCell ref="D96:F96"/>
    <mergeCell ref="H96:J96"/>
    <mergeCell ref="A97:C97"/>
    <mergeCell ref="D97:F97"/>
    <mergeCell ref="H97:J97"/>
    <mergeCell ref="A94:C94"/>
    <mergeCell ref="D94:F94"/>
    <mergeCell ref="H94:J94"/>
    <mergeCell ref="A95:C95"/>
    <mergeCell ref="D95:F95"/>
    <mergeCell ref="H95:J95"/>
    <mergeCell ref="A100:C100"/>
    <mergeCell ref="D100:F100"/>
    <mergeCell ref="H100:J100"/>
    <mergeCell ref="A101:C101"/>
    <mergeCell ref="D101:F101"/>
    <mergeCell ref="H101:J101"/>
    <mergeCell ref="A98:C98"/>
    <mergeCell ref="D98:F98"/>
    <mergeCell ref="H98:J98"/>
    <mergeCell ref="A99:C99"/>
    <mergeCell ref="D99:F99"/>
    <mergeCell ref="H99:J99"/>
    <mergeCell ref="A104:C104"/>
    <mergeCell ref="D104:F104"/>
    <mergeCell ref="H104:J104"/>
    <mergeCell ref="A105:C105"/>
    <mergeCell ref="D105:F105"/>
    <mergeCell ref="H105:J105"/>
    <mergeCell ref="A102:C102"/>
    <mergeCell ref="D102:F102"/>
    <mergeCell ref="H102:J102"/>
    <mergeCell ref="A103:C103"/>
    <mergeCell ref="D103:F103"/>
    <mergeCell ref="H103:J103"/>
    <mergeCell ref="A108:C108"/>
    <mergeCell ref="D108:F108"/>
    <mergeCell ref="H108:J108"/>
    <mergeCell ref="A109:C109"/>
    <mergeCell ref="D109:F109"/>
    <mergeCell ref="H109:J109"/>
    <mergeCell ref="A106:C106"/>
    <mergeCell ref="D106:F106"/>
    <mergeCell ref="H106:J106"/>
    <mergeCell ref="A107:C107"/>
    <mergeCell ref="D107:F107"/>
    <mergeCell ref="H107:J107"/>
    <mergeCell ref="A112:C112"/>
    <mergeCell ref="D112:F112"/>
    <mergeCell ref="H112:J112"/>
    <mergeCell ref="A113:C113"/>
    <mergeCell ref="D113:F113"/>
    <mergeCell ref="H113:J113"/>
    <mergeCell ref="A110:C110"/>
    <mergeCell ref="D110:F110"/>
    <mergeCell ref="H110:J110"/>
    <mergeCell ref="A111:C111"/>
    <mergeCell ref="D111:F111"/>
    <mergeCell ref="H111:J111"/>
    <mergeCell ref="A116:C116"/>
    <mergeCell ref="D116:F116"/>
    <mergeCell ref="H116:J116"/>
    <mergeCell ref="A117:C117"/>
    <mergeCell ref="D117:F117"/>
    <mergeCell ref="H117:J117"/>
    <mergeCell ref="A114:C114"/>
    <mergeCell ref="D114:F114"/>
    <mergeCell ref="H114:J114"/>
    <mergeCell ref="A115:C115"/>
    <mergeCell ref="D115:F115"/>
    <mergeCell ref="H115:J115"/>
    <mergeCell ref="A120:C120"/>
    <mergeCell ref="D120:F120"/>
    <mergeCell ref="H120:J120"/>
    <mergeCell ref="A121:C121"/>
    <mergeCell ref="D121:F121"/>
    <mergeCell ref="H121:J121"/>
    <mergeCell ref="A118:C118"/>
    <mergeCell ref="D118:F118"/>
    <mergeCell ref="H118:J118"/>
    <mergeCell ref="A119:C119"/>
    <mergeCell ref="D119:F119"/>
    <mergeCell ref="H119:J119"/>
    <mergeCell ref="A124:C124"/>
    <mergeCell ref="D124:F124"/>
    <mergeCell ref="H124:J124"/>
    <mergeCell ref="A125:C125"/>
    <mergeCell ref="D125:F125"/>
    <mergeCell ref="H125:J125"/>
    <mergeCell ref="A122:C122"/>
    <mergeCell ref="D122:F122"/>
    <mergeCell ref="H122:J122"/>
    <mergeCell ref="A123:C123"/>
    <mergeCell ref="D123:F123"/>
    <mergeCell ref="H123:J123"/>
    <mergeCell ref="A128:C128"/>
    <mergeCell ref="D128:F128"/>
    <mergeCell ref="H128:J128"/>
    <mergeCell ref="A129:C129"/>
    <mergeCell ref="D129:F129"/>
    <mergeCell ref="H129:J129"/>
    <mergeCell ref="A126:C126"/>
    <mergeCell ref="D126:F126"/>
    <mergeCell ref="H126:J126"/>
    <mergeCell ref="A127:C127"/>
    <mergeCell ref="D127:F127"/>
    <mergeCell ref="H127:J127"/>
    <mergeCell ref="A132:C132"/>
    <mergeCell ref="D132:F132"/>
    <mergeCell ref="H132:J132"/>
    <mergeCell ref="A133:C133"/>
    <mergeCell ref="D133:F133"/>
    <mergeCell ref="H133:J133"/>
    <mergeCell ref="A130:C130"/>
    <mergeCell ref="D130:F130"/>
    <mergeCell ref="H130:J130"/>
    <mergeCell ref="A131:C131"/>
    <mergeCell ref="D131:F131"/>
    <mergeCell ref="H131:J131"/>
    <mergeCell ref="L137:M137"/>
    <mergeCell ref="F138:H138"/>
    <mergeCell ref="E140:I140"/>
    <mergeCell ref="L140:M140"/>
    <mergeCell ref="A134:C134"/>
    <mergeCell ref="D134:F134"/>
    <mergeCell ref="H134:J134"/>
    <mergeCell ref="A135:C135"/>
    <mergeCell ref="D135:F135"/>
    <mergeCell ref="H135:J13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4</vt:i4>
      </vt:variant>
    </vt:vector>
  </HeadingPairs>
  <TitlesOfParts>
    <vt:vector size="14" baseType="lpstr">
      <vt:lpstr>Orientações Iniciais</vt:lpstr>
      <vt:lpstr>Indicadores e Metas</vt:lpstr>
      <vt:lpstr>Quadro Geral</vt:lpstr>
      <vt:lpstr>Fontes </vt:lpstr>
      <vt:lpstr>Limites Estratégicos</vt:lpstr>
      <vt:lpstr>Validação de dados</vt:lpstr>
      <vt:lpstr>Diretrizes - Resumo</vt:lpstr>
      <vt:lpstr>Matriz de Obj. Estrat.</vt:lpstr>
      <vt:lpstr>Balanço Orçamentário</vt:lpstr>
      <vt:lpstr>Empenhos e Pagamentos</vt:lpstr>
      <vt:lpstr>'Fontes '!Area_de_impressao</vt:lpstr>
      <vt:lpstr>'Indicadores e Metas'!Area_de_impressao</vt:lpstr>
      <vt:lpstr>'Matriz de Obj. Estrat.'!Area_de_impressao</vt:lpstr>
      <vt:lpstr>'Quadro Geral'!Area_de_impressao</vt:lpstr>
    </vt:vector>
  </TitlesOfParts>
  <Manager>Luiz Antonio Poletto</Manager>
  <Company>CAU/BR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Programação 2022</dc:subject>
  <dc:creator>GERPLAN-CAU/BR</dc:creator>
  <cp:lastModifiedBy>Cause-Levono</cp:lastModifiedBy>
  <cp:lastPrinted>2019-08-16T19:30:06Z</cp:lastPrinted>
  <dcterms:created xsi:type="dcterms:W3CDTF">2013-07-30T15:20:59Z</dcterms:created>
  <dcterms:modified xsi:type="dcterms:W3CDTF">2022-06-17T11:12:28Z</dcterms:modified>
</cp:coreProperties>
</file>